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autoCompressPictures="0" defaultThemeVersion="124226"/>
  <mc:AlternateContent xmlns:mc="http://schemas.openxmlformats.org/markup-compatibility/2006">
    <mc:Choice Requires="x15">
      <x15ac:absPath xmlns:x15ac="http://schemas.microsoft.com/office/spreadsheetml/2010/11/ac" url="Z:\WorkGroup\Drucker Research\Projects\Network Meta-analysis review\Website\Figures upload\March 2025 update\"/>
    </mc:Choice>
  </mc:AlternateContent>
  <xr:revisionPtr revIDLastSave="0" documentId="8_{2F12E645-1E04-4CE6-9AE2-003692EC71EC}" xr6:coauthVersionLast="47" xr6:coauthVersionMax="47" xr10:uidLastSave="{00000000-0000-0000-0000-000000000000}"/>
  <bookViews>
    <workbookView xWindow="-110" yWindow="-110" windowWidth="19420" windowHeight="10420" xr2:uid="{00000000-000D-0000-FFFF-FFFF00000000}"/>
  </bookViews>
  <sheets>
    <sheet name="STUDIES" sheetId="24" r:id="rId1"/>
    <sheet name="ARMS" sheetId="25" r:id="rId2"/>
    <sheet name="OUTCOMES" sheetId="28" r:id="rId3"/>
    <sheet name="ROB" sheetId="20" r:id="rId4"/>
    <sheet name="DataDic" sheetId="29" r:id="rId5"/>
    <sheet name="TreatmentCodes" sheetId="32" r:id="rId6"/>
    <sheet name="OutcomeCodes" sheetId="34" r:id="rId7"/>
    <sheet name="OutcomeCodes_OLD" sheetId="31" r:id="rId8"/>
    <sheet name="Hoja1" sheetId="33" r:id="rId9"/>
  </sheets>
  <externalReferences>
    <externalReference r:id="rId10"/>
  </externalReferences>
  <definedNames>
    <definedName name="_xlnm._FilterDatabase" localSheetId="2" hidden="1">OUTCOMES!$A$1:$AV$4020</definedName>
    <definedName name="_xlnm._FilterDatabase" localSheetId="0" hidden="1">STUDIES!$D$2:$P$63</definedName>
    <definedName name="_ftn1" localSheetId="1">ARMS!#REF!</definedName>
    <definedName name="_ftn1" localSheetId="0">STUDIES!#REF!</definedName>
    <definedName name="Outcomes" localSheetId="6">OutcomeCodes!$A$2:$A$351</definedName>
    <definedName name="Outcomes">OutcomeCodes_OLD!$A$2:$A$351</definedName>
    <definedName name="_xlnm.Print_Area" localSheetId="1">ARMS!$A$1:$H$46</definedName>
    <definedName name="_xlnm.Print_Area" localSheetId="0">STUDIES!$A$2:$P$21</definedName>
    <definedName name="_xlnm.Print_Titles" localSheetId="1">ARMS!$1:$1</definedName>
    <definedName name="_xlnm.Print_Titles" localSheetId="0">STUDIES!$2:$2</definedName>
    <definedName name="Studies" localSheetId="6">[1]STUDIES!$A$2:$A$2001</definedName>
    <definedName name="Studies">STUDIES!$A$3:$A$2002</definedName>
    <definedName name="Treatments" localSheetId="6">[1]TreatmentCodes!$A$2:$A$250</definedName>
    <definedName name="Treatments">TreatmentCodes!$A$3:$A$262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655" i="28" l="1"/>
  <c r="J2654" i="28"/>
  <c r="J2653" i="28"/>
  <c r="J2652" i="28"/>
  <c r="J2651" i="28"/>
  <c r="J2650" i="28"/>
  <c r="J2649" i="28"/>
  <c r="J2648" i="28"/>
  <c r="J2633" i="28"/>
  <c r="J2632" i="28"/>
  <c r="J2631" i="28"/>
  <c r="J2630" i="28"/>
  <c r="J2629" i="28"/>
  <c r="J2628" i="28"/>
  <c r="J2627" i="28"/>
  <c r="J2626" i="28"/>
  <c r="J2625" i="28"/>
  <c r="J2624" i="28"/>
  <c r="J2623" i="28"/>
  <c r="J2622" i="28"/>
  <c r="J2621" i="28"/>
  <c r="J2620" i="28"/>
  <c r="J2619" i="28"/>
  <c r="J2618" i="28"/>
  <c r="J2617" i="28"/>
  <c r="J2616" i="28"/>
  <c r="J2615" i="28"/>
  <c r="J2614" i="28"/>
  <c r="J2565" i="28"/>
  <c r="J2564" i="28"/>
  <c r="J2563" i="28"/>
  <c r="J2562" i="28"/>
  <c r="J2561" i="28"/>
  <c r="J2560" i="28"/>
  <c r="J2559" i="28"/>
  <c r="J2558" i="28"/>
  <c r="F2542" i="28"/>
  <c r="F2543" i="28"/>
  <c r="J2525" i="28"/>
  <c r="J2524" i="28"/>
  <c r="J2523" i="28"/>
  <c r="J2522" i="28"/>
  <c r="J2515" i="28"/>
  <c r="J2514" i="28"/>
  <c r="J2503" i="28"/>
  <c r="J2502" i="28"/>
  <c r="J2501" i="28"/>
  <c r="J2500" i="28"/>
  <c r="J2485" i="28"/>
  <c r="J2484" i="28"/>
  <c r="J2483" i="28"/>
  <c r="J2482" i="28"/>
  <c r="J2479" i="28"/>
  <c r="J2478" i="28"/>
  <c r="J2477" i="28"/>
  <c r="J2476" i="28"/>
  <c r="J2463" i="28"/>
  <c r="J2462" i="28"/>
  <c r="J2461" i="28"/>
  <c r="J2460" i="28"/>
  <c r="F2461" i="28"/>
  <c r="J2459" i="28"/>
  <c r="J2458" i="28"/>
  <c r="J2457" i="28"/>
  <c r="J2456" i="28"/>
  <c r="J2433" i="28"/>
  <c r="J2432" i="28"/>
  <c r="J2427" i="28"/>
  <c r="J2426" i="28"/>
  <c r="F2006" i="28"/>
  <c r="F2007" i="28"/>
  <c r="F2008" i="28"/>
  <c r="F2009" i="28"/>
  <c r="F2010" i="28"/>
  <c r="F2011" i="28"/>
  <c r="F2012" i="28"/>
  <c r="F2013" i="28"/>
  <c r="F2014" i="28"/>
  <c r="F2015" i="28"/>
  <c r="F2016" i="28"/>
  <c r="F2017" i="28"/>
  <c r="F2018" i="28"/>
  <c r="F2019" i="28"/>
  <c r="F2020" i="28"/>
  <c r="F2021" i="28"/>
  <c r="F2022" i="28"/>
  <c r="F2023" i="28"/>
  <c r="F2024" i="28"/>
  <c r="F2025" i="28"/>
  <c r="J2423" i="28"/>
  <c r="J2422" i="28"/>
  <c r="J2421" i="28"/>
  <c r="J2420" i="28"/>
  <c r="J2418" i="28"/>
  <c r="J2419" i="28"/>
  <c r="J2401" i="28"/>
  <c r="J2400" i="28"/>
  <c r="J2397" i="28"/>
  <c r="J2396" i="28"/>
  <c r="J2395" i="28"/>
  <c r="J2394" i="28"/>
  <c r="F2368" i="28"/>
  <c r="F2369" i="28"/>
  <c r="F2370" i="28"/>
  <c r="H285" i="25"/>
  <c r="G285" i="25"/>
  <c r="H278" i="25"/>
  <c r="H276" i="25"/>
  <c r="J2356" i="28" l="1"/>
  <c r="J2355" i="28"/>
  <c r="J2354" i="28"/>
  <c r="J2353" i="28"/>
  <c r="J2352" i="28"/>
  <c r="J2351" i="28"/>
  <c r="J2350" i="28"/>
  <c r="J2349" i="28"/>
  <c r="J2348" i="28"/>
  <c r="J2347" i="28"/>
  <c r="J2346" i="28"/>
  <c r="J2345" i="28"/>
  <c r="J2336" i="28"/>
  <c r="J2335" i="28"/>
  <c r="J2334" i="28"/>
  <c r="J2332" i="28"/>
  <c r="J2331" i="28"/>
  <c r="J2330" i="28"/>
  <c r="J2328" i="28"/>
  <c r="J2327" i="28"/>
  <c r="J2326" i="28"/>
  <c r="J2325" i="28"/>
  <c r="J2324" i="28"/>
  <c r="J2323" i="28"/>
  <c r="J2322" i="28"/>
  <c r="J2321" i="28"/>
  <c r="J839" i="28"/>
  <c r="J838" i="28"/>
  <c r="J837" i="28"/>
  <c r="J836" i="28"/>
  <c r="J2320" i="28"/>
  <c r="J2319" i="28"/>
  <c r="J2318" i="28"/>
  <c r="J2317" i="28"/>
  <c r="J2316" i="28"/>
  <c r="J2315" i="28"/>
  <c r="J2314" i="28"/>
  <c r="J2313" i="28"/>
  <c r="J2312" i="28"/>
  <c r="J2311" i="28"/>
  <c r="J2310" i="28"/>
  <c r="J2309" i="28"/>
  <c r="F2297" i="28"/>
  <c r="F2298" i="28"/>
  <c r="F2299" i="28"/>
  <c r="F2300" i="28"/>
  <c r="F2301" i="28"/>
  <c r="F2302" i="28"/>
  <c r="F2303" i="28"/>
  <c r="F2304" i="28"/>
  <c r="A2293" i="28"/>
  <c r="F2293" i="28"/>
  <c r="A2294" i="28"/>
  <c r="F2294" i="28"/>
  <c r="J2257" i="28"/>
  <c r="J2256" i="28"/>
  <c r="J2255" i="28"/>
  <c r="J2254" i="28"/>
  <c r="J2253" i="28"/>
  <c r="J2252" i="28"/>
  <c r="J2251" i="28"/>
  <c r="J2250" i="28"/>
  <c r="J2249" i="28"/>
  <c r="J2248" i="28"/>
  <c r="J2247" i="28"/>
  <c r="J2246" i="28"/>
  <c r="F2215" i="28"/>
  <c r="F2214" i="28"/>
  <c r="F2213" i="28"/>
  <c r="F2212" i="28"/>
  <c r="J2187" i="28"/>
  <c r="J2186" i="28"/>
  <c r="J2184" i="28"/>
  <c r="J2183" i="28"/>
  <c r="J2182" i="28"/>
  <c r="J2181" i="28"/>
  <c r="J2180" i="28"/>
  <c r="J2179" i="28"/>
  <c r="J2166" i="28"/>
  <c r="J2165" i="28"/>
  <c r="J2164" i="28"/>
  <c r="J2163" i="28"/>
  <c r="J2162" i="28"/>
  <c r="J2161" i="28"/>
  <c r="J2160" i="28"/>
  <c r="J2159" i="28"/>
  <c r="J2158" i="28"/>
  <c r="H257" i="25"/>
  <c r="H256" i="25"/>
  <c r="H255" i="25"/>
  <c r="J2153" i="28"/>
  <c r="J2152" i="28"/>
  <c r="J2151" i="28"/>
  <c r="J2150" i="28"/>
  <c r="J2149" i="28"/>
  <c r="J2148" i="28"/>
  <c r="H254" i="25"/>
  <c r="H253" i="25"/>
  <c r="J2053" i="28"/>
  <c r="J2052" i="28"/>
  <c r="F810" i="28"/>
  <c r="E241" i="25"/>
  <c r="E240" i="25"/>
  <c r="E239" i="25"/>
  <c r="E238" i="25"/>
  <c r="E237" i="25"/>
  <c r="E236" i="25"/>
  <c r="E244" i="25"/>
  <c r="E243" i="25"/>
  <c r="E242" i="25"/>
  <c r="F2049" i="28"/>
  <c r="F2048" i="28"/>
  <c r="F2047" i="28"/>
  <c r="F2046" i="28"/>
  <c r="J2041" i="28"/>
  <c r="J2040" i="28"/>
  <c r="J2039" i="28"/>
  <c r="J2038" i="28"/>
  <c r="F2005" i="28"/>
  <c r="F2004" i="28"/>
  <c r="F2003" i="28"/>
  <c r="F2002" i="28"/>
  <c r="F2001" i="28"/>
  <c r="F2000" i="28"/>
  <c r="F1999" i="28"/>
  <c r="F1998" i="28"/>
  <c r="F1997" i="28"/>
  <c r="F1996" i="28"/>
  <c r="F1965" i="28"/>
  <c r="F1964" i="28"/>
  <c r="F1963" i="28"/>
  <c r="F1962" i="28"/>
  <c r="J1961" i="28"/>
  <c r="J1960" i="28"/>
  <c r="F1961" i="28"/>
  <c r="F1960" i="28"/>
  <c r="J1959" i="28"/>
  <c r="J1958" i="28"/>
  <c r="F1957" i="28"/>
  <c r="F1956" i="28"/>
  <c r="F1955" i="28"/>
  <c r="F1954" i="28"/>
  <c r="F1953" i="28"/>
  <c r="F1952" i="28"/>
  <c r="F1951" i="28"/>
  <c r="F1950" i="28"/>
  <c r="F1949" i="28"/>
  <c r="F1948" i="28"/>
  <c r="F1947" i="28"/>
  <c r="F1946" i="28"/>
  <c r="F1873" i="28"/>
  <c r="F1872" i="28"/>
  <c r="F1871" i="28"/>
  <c r="F3526" i="28"/>
  <c r="F3525" i="28"/>
  <c r="F3524" i="28"/>
  <c r="F3523" i="28"/>
  <c r="F3522" i="28"/>
  <c r="F3521" i="28"/>
  <c r="F3520" i="28"/>
  <c r="F3519" i="28"/>
  <c r="F3518" i="28"/>
  <c r="F3517" i="28"/>
  <c r="F3516" i="28"/>
  <c r="F3515" i="28"/>
  <c r="F3514" i="28"/>
  <c r="F3513" i="28"/>
  <c r="F3512" i="28"/>
  <c r="F3511" i="28"/>
  <c r="F3510" i="28"/>
  <c r="F3509" i="28"/>
  <c r="F3508" i="28"/>
  <c r="F3507" i="28"/>
  <c r="F3506" i="28"/>
  <c r="F3505" i="28"/>
  <c r="F3504" i="28"/>
  <c r="F3503" i="28"/>
  <c r="F3502" i="28"/>
  <c r="F3501" i="28"/>
  <c r="F3500" i="28"/>
  <c r="F3499" i="28"/>
  <c r="F3498" i="28"/>
  <c r="F3497" i="28"/>
  <c r="F3496" i="28"/>
  <c r="F3495" i="28"/>
  <c r="F3494" i="28"/>
  <c r="F3493" i="28"/>
  <c r="F3492" i="28"/>
  <c r="F3491" i="28"/>
  <c r="F3490" i="28"/>
  <c r="F3489" i="28"/>
  <c r="F3488" i="28"/>
  <c r="F3487" i="28"/>
  <c r="F3486" i="28"/>
  <c r="F3485" i="28"/>
  <c r="F3484" i="28"/>
  <c r="F3483" i="28"/>
  <c r="F3482" i="28"/>
  <c r="F3481" i="28"/>
  <c r="F3480" i="28"/>
  <c r="F3479" i="28"/>
  <c r="F3478" i="28"/>
  <c r="F3477" i="28"/>
  <c r="F3476" i="28"/>
  <c r="F3475" i="28"/>
  <c r="F3474" i="28"/>
  <c r="F3473" i="28"/>
  <c r="F3472" i="28"/>
  <c r="F3471" i="28"/>
  <c r="F3470" i="28"/>
  <c r="F3469" i="28"/>
  <c r="F3468" i="28"/>
  <c r="F3467" i="28"/>
  <c r="F3466" i="28"/>
  <c r="F3465" i="28"/>
  <c r="F3464" i="28"/>
  <c r="F3463" i="28"/>
  <c r="F3462" i="28"/>
  <c r="F3461" i="28"/>
  <c r="F3460" i="28"/>
  <c r="F3459" i="28"/>
  <c r="F3458" i="28"/>
  <c r="F3457" i="28"/>
  <c r="F3456" i="28"/>
  <c r="F3455" i="28"/>
  <c r="F3454" i="28"/>
  <c r="F3453" i="28"/>
  <c r="F3452" i="28"/>
  <c r="F3451" i="28"/>
  <c r="F3450" i="28"/>
  <c r="F3449" i="28"/>
  <c r="F3448" i="28"/>
  <c r="F3447" i="28"/>
  <c r="F3446" i="28"/>
  <c r="F3445" i="28"/>
  <c r="F3444" i="28"/>
  <c r="F3443" i="28"/>
  <c r="F3442" i="28"/>
  <c r="F3441" i="28"/>
  <c r="F3440" i="28"/>
  <c r="F3439" i="28"/>
  <c r="F3438" i="28"/>
  <c r="F3437" i="28"/>
  <c r="F3436" i="28"/>
  <c r="F3435" i="28"/>
  <c r="F3434" i="28"/>
  <c r="F3433" i="28"/>
  <c r="F3432" i="28"/>
  <c r="F3431" i="28"/>
  <c r="F3430" i="28"/>
  <c r="F3429" i="28"/>
  <c r="F3428" i="28"/>
  <c r="F3427" i="28"/>
  <c r="F3426" i="28"/>
  <c r="F3425" i="28"/>
  <c r="F3424" i="28"/>
  <c r="F3423" i="28"/>
  <c r="F3422" i="28"/>
  <c r="F3421" i="28"/>
  <c r="F3420" i="28"/>
  <c r="F3419" i="28"/>
  <c r="F3418" i="28"/>
  <c r="F3417" i="28"/>
  <c r="F3416" i="28"/>
  <c r="F3415" i="28"/>
  <c r="F3414" i="28"/>
  <c r="F3413" i="28"/>
  <c r="F3412" i="28"/>
  <c r="F3411" i="28"/>
  <c r="F3410" i="28"/>
  <c r="F3409" i="28"/>
  <c r="F3408" i="28"/>
  <c r="F3407" i="28"/>
  <c r="F3406" i="28"/>
  <c r="F3405" i="28"/>
  <c r="F3404" i="28"/>
  <c r="F3403" i="28"/>
  <c r="F3402" i="28"/>
  <c r="F3401" i="28"/>
  <c r="F3400" i="28"/>
  <c r="F3399" i="28"/>
  <c r="F3398" i="28"/>
  <c r="F3397" i="28"/>
  <c r="F3396" i="28"/>
  <c r="F3395" i="28"/>
  <c r="F3394" i="28"/>
  <c r="F3393" i="28"/>
  <c r="F3392" i="28"/>
  <c r="F3391" i="28"/>
  <c r="F3390" i="28"/>
  <c r="F3389" i="28"/>
  <c r="F3388" i="28"/>
  <c r="F3387" i="28"/>
  <c r="F3386" i="28"/>
  <c r="F3385" i="28"/>
  <c r="F3384" i="28"/>
  <c r="F3383" i="28"/>
  <c r="F3382" i="28"/>
  <c r="F3381" i="28"/>
  <c r="F3380" i="28"/>
  <c r="F3379" i="28"/>
  <c r="F3378" i="28"/>
  <c r="F3377" i="28"/>
  <c r="F3376" i="28"/>
  <c r="F3375" i="28"/>
  <c r="F3374" i="28"/>
  <c r="F3373" i="28"/>
  <c r="F3372" i="28"/>
  <c r="F3371" i="28"/>
  <c r="F3370" i="28"/>
  <c r="F3369" i="28"/>
  <c r="F3368" i="28"/>
  <c r="F3367" i="28"/>
  <c r="F3366" i="28"/>
  <c r="F3365" i="28"/>
  <c r="F3364" i="28"/>
  <c r="F3363" i="28"/>
  <c r="F3362" i="28"/>
  <c r="F3361" i="28"/>
  <c r="F3360" i="28"/>
  <c r="F3359" i="28"/>
  <c r="F3358" i="28"/>
  <c r="F3357" i="28"/>
  <c r="F3356" i="28"/>
  <c r="F3355" i="28"/>
  <c r="F3354" i="28"/>
  <c r="F3353" i="28"/>
  <c r="F3352" i="28"/>
  <c r="F3351" i="28"/>
  <c r="F3350" i="28"/>
  <c r="F3349" i="28"/>
  <c r="F3348" i="28"/>
  <c r="F3347" i="28"/>
  <c r="F3346" i="28"/>
  <c r="F3345" i="28"/>
  <c r="F3344" i="28"/>
  <c r="F3343" i="28"/>
  <c r="F3342" i="28"/>
  <c r="F3341" i="28"/>
  <c r="F3340" i="28"/>
  <c r="F3339" i="28"/>
  <c r="F3338" i="28"/>
  <c r="F3337" i="28"/>
  <c r="F3336" i="28"/>
  <c r="F3335" i="28"/>
  <c r="F3334" i="28"/>
  <c r="F3333" i="28"/>
  <c r="F3332" i="28"/>
  <c r="F3331" i="28"/>
  <c r="F3330" i="28"/>
  <c r="F3329" i="28"/>
  <c r="F3328" i="28"/>
  <c r="F3327" i="28"/>
  <c r="F3326" i="28"/>
  <c r="F3325" i="28"/>
  <c r="F3324" i="28"/>
  <c r="F3323" i="28"/>
  <c r="F3322" i="28"/>
  <c r="F3321" i="28"/>
  <c r="F3320" i="28"/>
  <c r="F3319" i="28"/>
  <c r="F3318" i="28"/>
  <c r="F3317" i="28"/>
  <c r="F3316" i="28"/>
  <c r="F3315" i="28"/>
  <c r="F3314" i="28"/>
  <c r="F3313" i="28"/>
  <c r="F3312" i="28"/>
  <c r="F3311" i="28"/>
  <c r="F3310" i="28"/>
  <c r="F3309" i="28"/>
  <c r="F3308" i="28"/>
  <c r="F3307" i="28"/>
  <c r="F3306" i="28"/>
  <c r="F3305" i="28"/>
  <c r="F3304" i="28"/>
  <c r="F3303" i="28"/>
  <c r="F3302" i="28"/>
  <c r="F3301" i="28"/>
  <c r="F3300" i="28"/>
  <c r="F3299" i="28"/>
  <c r="F3298" i="28"/>
  <c r="F3297" i="28"/>
  <c r="F3296" i="28"/>
  <c r="F3295" i="28"/>
  <c r="F3294" i="28"/>
  <c r="F3293" i="28"/>
  <c r="F3292" i="28"/>
  <c r="F3291" i="28"/>
  <c r="F3290" i="28"/>
  <c r="F3289" i="28"/>
  <c r="F3288" i="28"/>
  <c r="F3287" i="28"/>
  <c r="F3286" i="28"/>
  <c r="F3285" i="28"/>
  <c r="F3284" i="28"/>
  <c r="F3283" i="28"/>
  <c r="F3282" i="28"/>
  <c r="F3281" i="28"/>
  <c r="F3280" i="28"/>
  <c r="F3279" i="28"/>
  <c r="F3278" i="28"/>
  <c r="F3277" i="28"/>
  <c r="F3276" i="28"/>
  <c r="F3275" i="28"/>
  <c r="F3274" i="28"/>
  <c r="F3273" i="28"/>
  <c r="F3272" i="28"/>
  <c r="F3271" i="28"/>
  <c r="F3270" i="28"/>
  <c r="F3269" i="28"/>
  <c r="F3268" i="28"/>
  <c r="F3267" i="28"/>
  <c r="F3266" i="28"/>
  <c r="F3265" i="28"/>
  <c r="F3264" i="28"/>
  <c r="F3263" i="28"/>
  <c r="F3262" i="28"/>
  <c r="F3261" i="28"/>
  <c r="F3260" i="28"/>
  <c r="F3259" i="28"/>
  <c r="F3258" i="28"/>
  <c r="F3257" i="28"/>
  <c r="F3256" i="28"/>
  <c r="F3255" i="28"/>
  <c r="F3254" i="28"/>
  <c r="F3253" i="28"/>
  <c r="F3252" i="28"/>
  <c r="F3251" i="28"/>
  <c r="F3250" i="28"/>
  <c r="F3249" i="28"/>
  <c r="F3248" i="28"/>
  <c r="F3247" i="28"/>
  <c r="F3246" i="28"/>
  <c r="F3245" i="28"/>
  <c r="F3244" i="28"/>
  <c r="F3243" i="28"/>
  <c r="F3242" i="28"/>
  <c r="F3241" i="28"/>
  <c r="F3240" i="28"/>
  <c r="F3239" i="28"/>
  <c r="F3238" i="28"/>
  <c r="F3237" i="28"/>
  <c r="F3236" i="28"/>
  <c r="F3235" i="28"/>
  <c r="F3234" i="28"/>
  <c r="F3233" i="28"/>
  <c r="F3232" i="28"/>
  <c r="F3231" i="28"/>
  <c r="F3230" i="28"/>
  <c r="F3229" i="28"/>
  <c r="F3228" i="28"/>
  <c r="F3227" i="28"/>
  <c r="F3226" i="28"/>
  <c r="F3225" i="28"/>
  <c r="F3224" i="28"/>
  <c r="F3223" i="28"/>
  <c r="F3222" i="28"/>
  <c r="F3221" i="28"/>
  <c r="F3220" i="28"/>
  <c r="F3219" i="28"/>
  <c r="F3218" i="28"/>
  <c r="F3217" i="28"/>
  <c r="F3216" i="28"/>
  <c r="F3215" i="28"/>
  <c r="F3214" i="28"/>
  <c r="F3213" i="28"/>
  <c r="F3212" i="28"/>
  <c r="F3211" i="28"/>
  <c r="F3210" i="28"/>
  <c r="F3209" i="28"/>
  <c r="F3208" i="28"/>
  <c r="F3207" i="28"/>
  <c r="F3206" i="28"/>
  <c r="F3205" i="28"/>
  <c r="F3204" i="28"/>
  <c r="F3203" i="28"/>
  <c r="F3202" i="28"/>
  <c r="F3201" i="28"/>
  <c r="F3200" i="28"/>
  <c r="F3199" i="28"/>
  <c r="F3198" i="28"/>
  <c r="F3197" i="28"/>
  <c r="F3196" i="28"/>
  <c r="F3195" i="28"/>
  <c r="F3194" i="28"/>
  <c r="F3193" i="28"/>
  <c r="F3192" i="28"/>
  <c r="F3191" i="28"/>
  <c r="F3190" i="28"/>
  <c r="F3189" i="28"/>
  <c r="F3188" i="28"/>
  <c r="F3187" i="28"/>
  <c r="F3186" i="28"/>
  <c r="F3185" i="28"/>
  <c r="F3184" i="28"/>
  <c r="F3183" i="28"/>
  <c r="F3182" i="28"/>
  <c r="F3181" i="28"/>
  <c r="F3180" i="28"/>
  <c r="F3179" i="28"/>
  <c r="F3178" i="28"/>
  <c r="F3177" i="28"/>
  <c r="F3176" i="28"/>
  <c r="F3175" i="28"/>
  <c r="F3174" i="28"/>
  <c r="F3173" i="28"/>
  <c r="F3172" i="28"/>
  <c r="F3171" i="28"/>
  <c r="F3170" i="28"/>
  <c r="F3169" i="28"/>
  <c r="F3168" i="28"/>
  <c r="F3167" i="28"/>
  <c r="F3166" i="28"/>
  <c r="F3165" i="28"/>
  <c r="F3164" i="28"/>
  <c r="F3163" i="28"/>
  <c r="F3162" i="28"/>
  <c r="F3161" i="28"/>
  <c r="F3160" i="28"/>
  <c r="F3159" i="28"/>
  <c r="F3158" i="28"/>
  <c r="F3157" i="28"/>
  <c r="F3156" i="28"/>
  <c r="F3155" i="28"/>
  <c r="F3154" i="28"/>
  <c r="F3153" i="28"/>
  <c r="F3152" i="28"/>
  <c r="F3151" i="28"/>
  <c r="F3150" i="28"/>
  <c r="F3149" i="28"/>
  <c r="F3148" i="28"/>
  <c r="F3147" i="28"/>
  <c r="F3146" i="28"/>
  <c r="F3145" i="28"/>
  <c r="F3144" i="28"/>
  <c r="F3143" i="28"/>
  <c r="F3142" i="28"/>
  <c r="F3141" i="28"/>
  <c r="F3140" i="28"/>
  <c r="F3139" i="28"/>
  <c r="F3138" i="28"/>
  <c r="F3137" i="28"/>
  <c r="F3136" i="28"/>
  <c r="F3135" i="28"/>
  <c r="F3134" i="28"/>
  <c r="F3133" i="28"/>
  <c r="F3132" i="28"/>
  <c r="F3131" i="28"/>
  <c r="F3130" i="28"/>
  <c r="F3129" i="28"/>
  <c r="F3128" i="28"/>
  <c r="F3127" i="28"/>
  <c r="F3126" i="28"/>
  <c r="F3125" i="28"/>
  <c r="F3124" i="28"/>
  <c r="F3123" i="28"/>
  <c r="F3122" i="28"/>
  <c r="F3121" i="28"/>
  <c r="F3120" i="28"/>
  <c r="F3119" i="28"/>
  <c r="F3118" i="28"/>
  <c r="F3117" i="28"/>
  <c r="F3116" i="28"/>
  <c r="F3115" i="28"/>
  <c r="F3114" i="28"/>
  <c r="F3113" i="28"/>
  <c r="F3112" i="28"/>
  <c r="F3111" i="28"/>
  <c r="F3110" i="28"/>
  <c r="F3109" i="28"/>
  <c r="F3108" i="28"/>
  <c r="F3107" i="28"/>
  <c r="F3106" i="28"/>
  <c r="F3105" i="28"/>
  <c r="F3104" i="28"/>
  <c r="F3103" i="28"/>
  <c r="F3102" i="28"/>
  <c r="F3101" i="28"/>
  <c r="F3100" i="28"/>
  <c r="F3099" i="28"/>
  <c r="F3098" i="28"/>
  <c r="F3097" i="28"/>
  <c r="F3096" i="28"/>
  <c r="F3095" i="28"/>
  <c r="F3094" i="28"/>
  <c r="F3093" i="28"/>
  <c r="F3092" i="28"/>
  <c r="F3091" i="28"/>
  <c r="F3090" i="28"/>
  <c r="F3089" i="28"/>
  <c r="F3088" i="28"/>
  <c r="F3087" i="28"/>
  <c r="F3086" i="28"/>
  <c r="F3085" i="28"/>
  <c r="F3084" i="28"/>
  <c r="F3083" i="28"/>
  <c r="F3082" i="28"/>
  <c r="F3081" i="28"/>
  <c r="F3080" i="28"/>
  <c r="F3079" i="28"/>
  <c r="F3078" i="28"/>
  <c r="F3077" i="28"/>
  <c r="F3076" i="28"/>
  <c r="F3075" i="28"/>
  <c r="F3074" i="28"/>
  <c r="F3073" i="28"/>
  <c r="F3072" i="28"/>
  <c r="F3071" i="28"/>
  <c r="F3070" i="28"/>
  <c r="F3069" i="28"/>
  <c r="F3068" i="28"/>
  <c r="F3067" i="28"/>
  <c r="F3066" i="28"/>
  <c r="F3065" i="28"/>
  <c r="F3064" i="28"/>
  <c r="F3063" i="28"/>
  <c r="F3062" i="28"/>
  <c r="F3061" i="28"/>
  <c r="F3060" i="28"/>
  <c r="F3059" i="28"/>
  <c r="F3058" i="28"/>
  <c r="F3057" i="28"/>
  <c r="F3056" i="28"/>
  <c r="F3055" i="28"/>
  <c r="F3054" i="28"/>
  <c r="F3053" i="28"/>
  <c r="F3052" i="28"/>
  <c r="F3051" i="28"/>
  <c r="F3050" i="28"/>
  <c r="F3049" i="28"/>
  <c r="F3048" i="28"/>
  <c r="F3047" i="28"/>
  <c r="F3046" i="28"/>
  <c r="F3045" i="28"/>
  <c r="F3044" i="28"/>
  <c r="F3043" i="28"/>
  <c r="F3042" i="28"/>
  <c r="F3041" i="28"/>
  <c r="F3040" i="28"/>
  <c r="F3039" i="28"/>
  <c r="F3038" i="28"/>
  <c r="F3037" i="28"/>
  <c r="F3036" i="28"/>
  <c r="F3035" i="28"/>
  <c r="F3034" i="28"/>
  <c r="F3033" i="28"/>
  <c r="F3032" i="28"/>
  <c r="F3031" i="28"/>
  <c r="F3030" i="28"/>
  <c r="F3029" i="28"/>
  <c r="F3028" i="28"/>
  <c r="F3027" i="28"/>
  <c r="F3026" i="28"/>
  <c r="F3025" i="28"/>
  <c r="F3024" i="28"/>
  <c r="F3023" i="28"/>
  <c r="F3022" i="28"/>
  <c r="F3021" i="28"/>
  <c r="F3020" i="28"/>
  <c r="F3019" i="28"/>
  <c r="F3018" i="28"/>
  <c r="F3017" i="28"/>
  <c r="F3016" i="28"/>
  <c r="F3015" i="28"/>
  <c r="F3014" i="28"/>
  <c r="F3013" i="28"/>
  <c r="F3012" i="28"/>
  <c r="F3011" i="28"/>
  <c r="F3010" i="28"/>
  <c r="F3009" i="28"/>
  <c r="F3008" i="28"/>
  <c r="F3007" i="28"/>
  <c r="F3006" i="28"/>
  <c r="F3005" i="28"/>
  <c r="F3004" i="28"/>
  <c r="F3003" i="28"/>
  <c r="F3002" i="28"/>
  <c r="F3001" i="28"/>
  <c r="F3000" i="28"/>
  <c r="F2999" i="28"/>
  <c r="F2998" i="28"/>
  <c r="F2997" i="28"/>
  <c r="F2996" i="28"/>
  <c r="F2995" i="28"/>
  <c r="F2994" i="28"/>
  <c r="F2993" i="28"/>
  <c r="F2992" i="28"/>
  <c r="F2991" i="28"/>
  <c r="F2990" i="28"/>
  <c r="F2989" i="28"/>
  <c r="F2988" i="28"/>
  <c r="F2987" i="28"/>
  <c r="F2986" i="28"/>
  <c r="F2985" i="28"/>
  <c r="F2984" i="28"/>
  <c r="F2983" i="28"/>
  <c r="F2982" i="28"/>
  <c r="F2981" i="28"/>
  <c r="F2980" i="28"/>
  <c r="F2979" i="28"/>
  <c r="F2978" i="28"/>
  <c r="F2977" i="28"/>
  <c r="F2976" i="28"/>
  <c r="F2975" i="28"/>
  <c r="F2974" i="28"/>
  <c r="F2973" i="28"/>
  <c r="F2972" i="28"/>
  <c r="F2971" i="28"/>
  <c r="F2970" i="28"/>
  <c r="F2969" i="28"/>
  <c r="F2968" i="28"/>
  <c r="F2967" i="28"/>
  <c r="F2966" i="28"/>
  <c r="F2965" i="28"/>
  <c r="F2964" i="28"/>
  <c r="F2963" i="28"/>
  <c r="F2962" i="28"/>
  <c r="F2961" i="28"/>
  <c r="F2960" i="28"/>
  <c r="F2959" i="28"/>
  <c r="F2958" i="28"/>
  <c r="F2957" i="28"/>
  <c r="F2956" i="28"/>
  <c r="F2955" i="28"/>
  <c r="F2954" i="28"/>
  <c r="F2953" i="28"/>
  <c r="F2952" i="28"/>
  <c r="F2951" i="28"/>
  <c r="F2950" i="28"/>
  <c r="F2949" i="28"/>
  <c r="F2948" i="28"/>
  <c r="F2947" i="28"/>
  <c r="F2946" i="28"/>
  <c r="F2945" i="28"/>
  <c r="F2944" i="28"/>
  <c r="F2943" i="28"/>
  <c r="F2942" i="28"/>
  <c r="F2941" i="28"/>
  <c r="F2940" i="28"/>
  <c r="F2939" i="28"/>
  <c r="F2938" i="28"/>
  <c r="F2937" i="28"/>
  <c r="F2936" i="28"/>
  <c r="F2935" i="28"/>
  <c r="F2934" i="28"/>
  <c r="F2933" i="28"/>
  <c r="F2932" i="28"/>
  <c r="F2931" i="28"/>
  <c r="F2930" i="28"/>
  <c r="F2929" i="28"/>
  <c r="F2928" i="28"/>
  <c r="F2927" i="28"/>
  <c r="F2926" i="28"/>
  <c r="F2925" i="28"/>
  <c r="F2924" i="28"/>
  <c r="F2923" i="28"/>
  <c r="F2922" i="28"/>
  <c r="F2921" i="28"/>
  <c r="F2920" i="28"/>
  <c r="F2919" i="28"/>
  <c r="F2918" i="28"/>
  <c r="F2917" i="28"/>
  <c r="F2916" i="28"/>
  <c r="F2915" i="28"/>
  <c r="F2914" i="28"/>
  <c r="F2913" i="28"/>
  <c r="F2912" i="28"/>
  <c r="F2911" i="28"/>
  <c r="F2910" i="28"/>
  <c r="F2909" i="28"/>
  <c r="F2908" i="28"/>
  <c r="F2907" i="28"/>
  <c r="F2906" i="28"/>
  <c r="F2905" i="28"/>
  <c r="F2904" i="28"/>
  <c r="F2903" i="28"/>
  <c r="F2902" i="28"/>
  <c r="F2901" i="28"/>
  <c r="F2900" i="28"/>
  <c r="F2899" i="28"/>
  <c r="F2898" i="28"/>
  <c r="F2897" i="28"/>
  <c r="F2896" i="28"/>
  <c r="F2895" i="28"/>
  <c r="F2894" i="28"/>
  <c r="F2893" i="28"/>
  <c r="F2892" i="28"/>
  <c r="F2891" i="28"/>
  <c r="F2890" i="28"/>
  <c r="F2889" i="28"/>
  <c r="F2888" i="28"/>
  <c r="F2887" i="28"/>
  <c r="F2886" i="28"/>
  <c r="F2885" i="28"/>
  <c r="F2884" i="28"/>
  <c r="F2883" i="28"/>
  <c r="F2882" i="28"/>
  <c r="F2881" i="28"/>
  <c r="F2880" i="28"/>
  <c r="F2879" i="28"/>
  <c r="F2878" i="28"/>
  <c r="F2877" i="28"/>
  <c r="F2876" i="28"/>
  <c r="F2875" i="28"/>
  <c r="F2874" i="28"/>
  <c r="F2873" i="28"/>
  <c r="F2872" i="28"/>
  <c r="F2871" i="28"/>
  <c r="F2870" i="28"/>
  <c r="F2869" i="28"/>
  <c r="F2868" i="28"/>
  <c r="F2867" i="28"/>
  <c r="F2866" i="28"/>
  <c r="F2865" i="28"/>
  <c r="F2864" i="28"/>
  <c r="F2863" i="28"/>
  <c r="F2862" i="28"/>
  <c r="F2861" i="28"/>
  <c r="F2860" i="28"/>
  <c r="F2859" i="28"/>
  <c r="F2858" i="28"/>
  <c r="F2857" i="28"/>
  <c r="F2856" i="28"/>
  <c r="F2855" i="28"/>
  <c r="F2854" i="28"/>
  <c r="F2853" i="28"/>
  <c r="F2852" i="28"/>
  <c r="F2851" i="28"/>
  <c r="F2850" i="28"/>
  <c r="F2849" i="28"/>
  <c r="F2848" i="28"/>
  <c r="F2847" i="28"/>
  <c r="F2846" i="28"/>
  <c r="F2845" i="28"/>
  <c r="F2844" i="28"/>
  <c r="F2843" i="28"/>
  <c r="F2842" i="28"/>
  <c r="F2841" i="28"/>
  <c r="F2840" i="28"/>
  <c r="F2839" i="28"/>
  <c r="F2838" i="28"/>
  <c r="F2837" i="28"/>
  <c r="F2836" i="28"/>
  <c r="F2835" i="28"/>
  <c r="F2834" i="28"/>
  <c r="F2833" i="28"/>
  <c r="F2832" i="28"/>
  <c r="F2831" i="28"/>
  <c r="F2830" i="28"/>
  <c r="F2829" i="28"/>
  <c r="F2828" i="28"/>
  <c r="F2827" i="28"/>
  <c r="F2826" i="28"/>
  <c r="F2825" i="28"/>
  <c r="F2824" i="28"/>
  <c r="F2823" i="28"/>
  <c r="F2822" i="28"/>
  <c r="F2821" i="28"/>
  <c r="F2820" i="28"/>
  <c r="F2819" i="28"/>
  <c r="F2818" i="28"/>
  <c r="F2817" i="28"/>
  <c r="F2816" i="28"/>
  <c r="F2815" i="28"/>
  <c r="F2814" i="28"/>
  <c r="F2813" i="28"/>
  <c r="F2812" i="28"/>
  <c r="F2811" i="28"/>
  <c r="F2810" i="28"/>
  <c r="F2809" i="28"/>
  <c r="F2808" i="28"/>
  <c r="F2807" i="28"/>
  <c r="F2806" i="28"/>
  <c r="F2805" i="28"/>
  <c r="F2804" i="28"/>
  <c r="F2803" i="28"/>
  <c r="F2802" i="28"/>
  <c r="F2801" i="28"/>
  <c r="F2800" i="28"/>
  <c r="F2799" i="28"/>
  <c r="F2798" i="28"/>
  <c r="F2797" i="28"/>
  <c r="F2796" i="28"/>
  <c r="F2795" i="28"/>
  <c r="F2794" i="28"/>
  <c r="F2793" i="28"/>
  <c r="F2792" i="28"/>
  <c r="F2791" i="28"/>
  <c r="F2790" i="28"/>
  <c r="F2789" i="28"/>
  <c r="F2788" i="28"/>
  <c r="F2787" i="28"/>
  <c r="F2786" i="28"/>
  <c r="F2785" i="28"/>
  <c r="F2784" i="28"/>
  <c r="F2783" i="28"/>
  <c r="F2782" i="28"/>
  <c r="F2781" i="28"/>
  <c r="F2780" i="28"/>
  <c r="F2779" i="28"/>
  <c r="F2778" i="28"/>
  <c r="F2777" i="28"/>
  <c r="F2776" i="28"/>
  <c r="F2775" i="28"/>
  <c r="F2774" i="28"/>
  <c r="F2773" i="28"/>
  <c r="F2772" i="28"/>
  <c r="F2771" i="28"/>
  <c r="F2770" i="28"/>
  <c r="F2769" i="28"/>
  <c r="F2768" i="28"/>
  <c r="F2767" i="28"/>
  <c r="F2766" i="28"/>
  <c r="F2765" i="28"/>
  <c r="F2764" i="28"/>
  <c r="F2763" i="28"/>
  <c r="F2762" i="28"/>
  <c r="F2761" i="28"/>
  <c r="F2760" i="28"/>
  <c r="F2759" i="28"/>
  <c r="F2758" i="28"/>
  <c r="F2757" i="28"/>
  <c r="F2756" i="28"/>
  <c r="F2755" i="28"/>
  <c r="F2754" i="28"/>
  <c r="F2753" i="28"/>
  <c r="F2752" i="28"/>
  <c r="F2751" i="28"/>
  <c r="F2750" i="28"/>
  <c r="F2749" i="28"/>
  <c r="F2748" i="28"/>
  <c r="F2747" i="28"/>
  <c r="F2746" i="28"/>
  <c r="F2745" i="28"/>
  <c r="F2744" i="28"/>
  <c r="F2743" i="28"/>
  <c r="F2742" i="28"/>
  <c r="F2741" i="28"/>
  <c r="F2740" i="28"/>
  <c r="F2739" i="28"/>
  <c r="F2738" i="28"/>
  <c r="F2737" i="28"/>
  <c r="F2736" i="28"/>
  <c r="F2735" i="28"/>
  <c r="F2734" i="28"/>
  <c r="F2733" i="28"/>
  <c r="F2732" i="28"/>
  <c r="F2731" i="28"/>
  <c r="F2730" i="28"/>
  <c r="F2729" i="28"/>
  <c r="F2728" i="28"/>
  <c r="F2727" i="28"/>
  <c r="F2726" i="28"/>
  <c r="F2725" i="28"/>
  <c r="F2724" i="28"/>
  <c r="F2723" i="28"/>
  <c r="F2722" i="28"/>
  <c r="F2721" i="28"/>
  <c r="F2720" i="28"/>
  <c r="F2719" i="28"/>
  <c r="F2718" i="28"/>
  <c r="F2717" i="28"/>
  <c r="F2716" i="28"/>
  <c r="F2715" i="28"/>
  <c r="F2714" i="28"/>
  <c r="F2713" i="28"/>
  <c r="F2712" i="28"/>
  <c r="F2711" i="28"/>
  <c r="F2710" i="28"/>
  <c r="F2709" i="28"/>
  <c r="F2708" i="28"/>
  <c r="F2707" i="28"/>
  <c r="F2706" i="28"/>
  <c r="F2705" i="28"/>
  <c r="F2704" i="28"/>
  <c r="F2703" i="28"/>
  <c r="F2702" i="28"/>
  <c r="F2701" i="28"/>
  <c r="F2700" i="28"/>
  <c r="F2699" i="28"/>
  <c r="F2698" i="28"/>
  <c r="F2697" i="28"/>
  <c r="F2696" i="28"/>
  <c r="F2695" i="28"/>
  <c r="F2694" i="28"/>
  <c r="F2693" i="28"/>
  <c r="F2692" i="28"/>
  <c r="F2691" i="28"/>
  <c r="F2690" i="28"/>
  <c r="F2689" i="28"/>
  <c r="F2688" i="28"/>
  <c r="F2687" i="28"/>
  <c r="F2686" i="28"/>
  <c r="F2685" i="28"/>
  <c r="F2684" i="28"/>
  <c r="F2683" i="28"/>
  <c r="F2682" i="28"/>
  <c r="F2681" i="28"/>
  <c r="F2680" i="28"/>
  <c r="F2679" i="28"/>
  <c r="F2678" i="28"/>
  <c r="F2677" i="28"/>
  <c r="F2676" i="28"/>
  <c r="F2675" i="28"/>
  <c r="F2674" i="28"/>
  <c r="F2673" i="28"/>
  <c r="F2672" i="28"/>
  <c r="F2671" i="28"/>
  <c r="F2670" i="28"/>
  <c r="F2669" i="28"/>
  <c r="F2668" i="28"/>
  <c r="F2667" i="28"/>
  <c r="F2666" i="28"/>
  <c r="F2665" i="28"/>
  <c r="F2664" i="28"/>
  <c r="F2663" i="28"/>
  <c r="F2662" i="28"/>
  <c r="F2661" i="28"/>
  <c r="F2660" i="28"/>
  <c r="F2659" i="28"/>
  <c r="F2658" i="28"/>
  <c r="F2657" i="28"/>
  <c r="F2656" i="28"/>
  <c r="F2655" i="28"/>
  <c r="F2654" i="28"/>
  <c r="F2653" i="28"/>
  <c r="F2652" i="28"/>
  <c r="F2651" i="28"/>
  <c r="F2650" i="28"/>
  <c r="F2649" i="28"/>
  <c r="F2648" i="28"/>
  <c r="F2647" i="28"/>
  <c r="F2646" i="28"/>
  <c r="F2645" i="28"/>
  <c r="F2644" i="28"/>
  <c r="F2643" i="28"/>
  <c r="F2642" i="28"/>
  <c r="F2641" i="28"/>
  <c r="F2640" i="28"/>
  <c r="F2639" i="28"/>
  <c r="F2638" i="28"/>
  <c r="F2637" i="28"/>
  <c r="F2636" i="28"/>
  <c r="F2635" i="28"/>
  <c r="F2634" i="28"/>
  <c r="F2633" i="28"/>
  <c r="F2632" i="28"/>
  <c r="F2631" i="28"/>
  <c r="F2630" i="28"/>
  <c r="F2629" i="28"/>
  <c r="F2628" i="28"/>
  <c r="F2627" i="28"/>
  <c r="F2626" i="28"/>
  <c r="F2625" i="28"/>
  <c r="F2624" i="28"/>
  <c r="F2623" i="28"/>
  <c r="F2622" i="28"/>
  <c r="F2621" i="28"/>
  <c r="F2620" i="28"/>
  <c r="F2619" i="28"/>
  <c r="F2618" i="28"/>
  <c r="F2617" i="28"/>
  <c r="F2616" i="28"/>
  <c r="F2615" i="28"/>
  <c r="F2614" i="28"/>
  <c r="F2613" i="28"/>
  <c r="F2612" i="28"/>
  <c r="F2611" i="28"/>
  <c r="F2610" i="28"/>
  <c r="F2609" i="28"/>
  <c r="F2608" i="28"/>
  <c r="F2607" i="28"/>
  <c r="F2606" i="28"/>
  <c r="F2605" i="28"/>
  <c r="F2604" i="28"/>
  <c r="F2603" i="28"/>
  <c r="F2602" i="28"/>
  <c r="F2601" i="28"/>
  <c r="F2600" i="28"/>
  <c r="F2599" i="28"/>
  <c r="F2598" i="28"/>
  <c r="F2597" i="28"/>
  <c r="F2596" i="28"/>
  <c r="F2595" i="28"/>
  <c r="F2594" i="28"/>
  <c r="F2593" i="28"/>
  <c r="F2592" i="28"/>
  <c r="F2591" i="28"/>
  <c r="F2590" i="28"/>
  <c r="F2589" i="28"/>
  <c r="F2588" i="28"/>
  <c r="F2587" i="28"/>
  <c r="F2586" i="28"/>
  <c r="F2585" i="28"/>
  <c r="F2584" i="28"/>
  <c r="F2583" i="28"/>
  <c r="F2582" i="28"/>
  <c r="F2581" i="28"/>
  <c r="F2580" i="28"/>
  <c r="F2579" i="28"/>
  <c r="F2578" i="28"/>
  <c r="F2577" i="28"/>
  <c r="F2576" i="28"/>
  <c r="F2575" i="28"/>
  <c r="F2574" i="28"/>
  <c r="F2573" i="28"/>
  <c r="F2572" i="28"/>
  <c r="F2571" i="28"/>
  <c r="F2570" i="28"/>
  <c r="F2569" i="28"/>
  <c r="F2568" i="28"/>
  <c r="F2567" i="28"/>
  <c r="F2566" i="28"/>
  <c r="F2565" i="28"/>
  <c r="F2564" i="28"/>
  <c r="F2563" i="28"/>
  <c r="F2562" i="28"/>
  <c r="F2561" i="28"/>
  <c r="F2560" i="28"/>
  <c r="F2559" i="28"/>
  <c r="F2558" i="28"/>
  <c r="F2557" i="28"/>
  <c r="F2556" i="28"/>
  <c r="F2555" i="28"/>
  <c r="F2554" i="28"/>
  <c r="F2553" i="28"/>
  <c r="F2552" i="28"/>
  <c r="F2551" i="28"/>
  <c r="F2550" i="28"/>
  <c r="F2549" i="28"/>
  <c r="F2548" i="28"/>
  <c r="F2547" i="28"/>
  <c r="F2546" i="28"/>
  <c r="F2545" i="28"/>
  <c r="F2544" i="28"/>
  <c r="F2541" i="28"/>
  <c r="F2540" i="28"/>
  <c r="F2539" i="28"/>
  <c r="F2538" i="28"/>
  <c r="F2537" i="28"/>
  <c r="F2536" i="28"/>
  <c r="F2535" i="28"/>
  <c r="F2534" i="28"/>
  <c r="F2533" i="28"/>
  <c r="F2532" i="28"/>
  <c r="F2529" i="28"/>
  <c r="F2528" i="28"/>
  <c r="F2527" i="28"/>
  <c r="F2526" i="28"/>
  <c r="F2525" i="28"/>
  <c r="F2524" i="28"/>
  <c r="F2523" i="28"/>
  <c r="F2522" i="28"/>
  <c r="F2521" i="28"/>
  <c r="F2520" i="28"/>
  <c r="F2519" i="28"/>
  <c r="F2518" i="28"/>
  <c r="F2517" i="28"/>
  <c r="F2516" i="28"/>
  <c r="F2515" i="28"/>
  <c r="F2514" i="28"/>
  <c r="F2513" i="28"/>
  <c r="F2512" i="28"/>
  <c r="F2511" i="28"/>
  <c r="F2510" i="28"/>
  <c r="F2507" i="28"/>
  <c r="F2506" i="28"/>
  <c r="F2505" i="28"/>
  <c r="F2504" i="28"/>
  <c r="F2503" i="28"/>
  <c r="F2502" i="28"/>
  <c r="F2501" i="28"/>
  <c r="F2500" i="28"/>
  <c r="F2499" i="28"/>
  <c r="F2498" i="28"/>
  <c r="F2497" i="28"/>
  <c r="F2496" i="28"/>
  <c r="F2495" i="28"/>
  <c r="F2494" i="28"/>
  <c r="F2493" i="28"/>
  <c r="F2492" i="28"/>
  <c r="F2491" i="28"/>
  <c r="F2490" i="28"/>
  <c r="F2489" i="28"/>
  <c r="F2488" i="28"/>
  <c r="F2487" i="28"/>
  <c r="F2486" i="28"/>
  <c r="F2485" i="28"/>
  <c r="F2484" i="28"/>
  <c r="F2483" i="28"/>
  <c r="F2482" i="28"/>
  <c r="F2481" i="28"/>
  <c r="F2480" i="28"/>
  <c r="F2479" i="28"/>
  <c r="F2478" i="28"/>
  <c r="F2477" i="28"/>
  <c r="F2476" i="28"/>
  <c r="F2475" i="28"/>
  <c r="F2474" i="28"/>
  <c r="F2473" i="28"/>
  <c r="F2472" i="28"/>
  <c r="F2469" i="28"/>
  <c r="F2468" i="28"/>
  <c r="F2467" i="28"/>
  <c r="F2466" i="28"/>
  <c r="F2465" i="28"/>
  <c r="F2464" i="28"/>
  <c r="F2463" i="28"/>
  <c r="F2462" i="28"/>
  <c r="F2460" i="28"/>
  <c r="F2459" i="28"/>
  <c r="F2458" i="28"/>
  <c r="F2457" i="28"/>
  <c r="F2456" i="28"/>
  <c r="F2455" i="28"/>
  <c r="F2454" i="28"/>
  <c r="F2453" i="28"/>
  <c r="F2452" i="28"/>
  <c r="F2451" i="28"/>
  <c r="F2450" i="28"/>
  <c r="F2449" i="28"/>
  <c r="F2448" i="28"/>
  <c r="F2447" i="28"/>
  <c r="F2446" i="28"/>
  <c r="F2445" i="28"/>
  <c r="F2444" i="28"/>
  <c r="F2443" i="28"/>
  <c r="F2442" i="28"/>
  <c r="F2441" i="28"/>
  <c r="F2440" i="28"/>
  <c r="F2439" i="28"/>
  <c r="F2438" i="28"/>
  <c r="F2437" i="28"/>
  <c r="F2436" i="28"/>
  <c r="F2435" i="28"/>
  <c r="F2434" i="28"/>
  <c r="F2433" i="28"/>
  <c r="F2432" i="28"/>
  <c r="F2431" i="28"/>
  <c r="F2430" i="28"/>
  <c r="F2429" i="28"/>
  <c r="F2428" i="28"/>
  <c r="F2427" i="28"/>
  <c r="F2426" i="28"/>
  <c r="F2417" i="28"/>
  <c r="F2416" i="28"/>
  <c r="F2415" i="28"/>
  <c r="F2414" i="28"/>
  <c r="F2413" i="28"/>
  <c r="F2412" i="28"/>
  <c r="F2411" i="28"/>
  <c r="F2410" i="28"/>
  <c r="F2409" i="28"/>
  <c r="F2408" i="28"/>
  <c r="F2407" i="28"/>
  <c r="F2406" i="28"/>
  <c r="F2405" i="28"/>
  <c r="F2404" i="28"/>
  <c r="F2403" i="28"/>
  <c r="F2402" i="28"/>
  <c r="F2401" i="28"/>
  <c r="F2400" i="28"/>
  <c r="F2399" i="28"/>
  <c r="F2398" i="28"/>
  <c r="F2397" i="28"/>
  <c r="F2396" i="28"/>
  <c r="F2395" i="28"/>
  <c r="F2394" i="28"/>
  <c r="F2393" i="28"/>
  <c r="F2392" i="28"/>
  <c r="F2391" i="28"/>
  <c r="F2390" i="28"/>
  <c r="F2389" i="28"/>
  <c r="F2388" i="28"/>
  <c r="F2387" i="28"/>
  <c r="F2386" i="28"/>
  <c r="F2385" i="28"/>
  <c r="F2384" i="28"/>
  <c r="F2383" i="28"/>
  <c r="F2382" i="28"/>
  <c r="F2381" i="28"/>
  <c r="F2380" i="28"/>
  <c r="F2379" i="28"/>
  <c r="F2378" i="28"/>
  <c r="F2377" i="28"/>
  <c r="F2376" i="28"/>
  <c r="F2375" i="28"/>
  <c r="F2374" i="28"/>
  <c r="F2373" i="28"/>
  <c r="F2372" i="28"/>
  <c r="F2371" i="28"/>
  <c r="F2367" i="28"/>
  <c r="F2366" i="28"/>
  <c r="F2365" i="28"/>
  <c r="F2364" i="28"/>
  <c r="F2363" i="28"/>
  <c r="F2362" i="28"/>
  <c r="F2361" i="28"/>
  <c r="F2360" i="28"/>
  <c r="F2359" i="28"/>
  <c r="F2358" i="28"/>
  <c r="F2357" i="28"/>
  <c r="F2356" i="28"/>
  <c r="F2355" i="28"/>
  <c r="F2354" i="28"/>
  <c r="F2353" i="28"/>
  <c r="F2352" i="28"/>
  <c r="F2351" i="28"/>
  <c r="F2350" i="28"/>
  <c r="F2349" i="28"/>
  <c r="F2348" i="28"/>
  <c r="F2347" i="28"/>
  <c r="F2346" i="28"/>
  <c r="F2345" i="28"/>
  <c r="F2344" i="28"/>
  <c r="F2343" i="28"/>
  <c r="F2342" i="28"/>
  <c r="F2341" i="28"/>
  <c r="F2340" i="28"/>
  <c r="F2339" i="28"/>
  <c r="F2338" i="28"/>
  <c r="F2337" i="28"/>
  <c r="F2336" i="28"/>
  <c r="F2335" i="28"/>
  <c r="F2334" i="28"/>
  <c r="F2333" i="28"/>
  <c r="F2332" i="28"/>
  <c r="F2331" i="28"/>
  <c r="F2330" i="28"/>
  <c r="F2329" i="28"/>
  <c r="F2328" i="28"/>
  <c r="F2327" i="28"/>
  <c r="F2326" i="28"/>
  <c r="F2325" i="28"/>
  <c r="F2324" i="28"/>
  <c r="F2323" i="28"/>
  <c r="F2322" i="28"/>
  <c r="F2321" i="28"/>
  <c r="F2320" i="28"/>
  <c r="F2319" i="28"/>
  <c r="F2318" i="28"/>
  <c r="F2317" i="28"/>
  <c r="F2316" i="28"/>
  <c r="F2315" i="28"/>
  <c r="F2314" i="28"/>
  <c r="F2313" i="28"/>
  <c r="F2312" i="28"/>
  <c r="F2311" i="28"/>
  <c r="F2310" i="28"/>
  <c r="F2309" i="28"/>
  <c r="F2308" i="28"/>
  <c r="F2307" i="28"/>
  <c r="F2306" i="28"/>
  <c r="F2305" i="28"/>
  <c r="F2296" i="28"/>
  <c r="F2295" i="28"/>
  <c r="F2292" i="28"/>
  <c r="F2291" i="28"/>
  <c r="F2290" i="28"/>
  <c r="F2289" i="28"/>
  <c r="F2288" i="28"/>
  <c r="F2287" i="28"/>
  <c r="F2286" i="28"/>
  <c r="F2285" i="28"/>
  <c r="F2284" i="28"/>
  <c r="F2283" i="28"/>
  <c r="F2282" i="28"/>
  <c r="F2281" i="28"/>
  <c r="F2280" i="28"/>
  <c r="F2279" i="28"/>
  <c r="F2278" i="28"/>
  <c r="F2277" i="28"/>
  <c r="F2276" i="28"/>
  <c r="F2275" i="28"/>
  <c r="F2274" i="28"/>
  <c r="F2273" i="28"/>
  <c r="F2272" i="28"/>
  <c r="F2271" i="28"/>
  <c r="F2270" i="28"/>
  <c r="F2269" i="28"/>
  <c r="F2268" i="28"/>
  <c r="F2267" i="28"/>
  <c r="F2266" i="28"/>
  <c r="F2265" i="28"/>
  <c r="F2264" i="28"/>
  <c r="F2263" i="28"/>
  <c r="F2262" i="28"/>
  <c r="F2261" i="28"/>
  <c r="F2260" i="28"/>
  <c r="F2259" i="28"/>
  <c r="F2258" i="28"/>
  <c r="F2257" i="28"/>
  <c r="F2256" i="28"/>
  <c r="F2255" i="28"/>
  <c r="F2254" i="28"/>
  <c r="F2253" i="28"/>
  <c r="F2252" i="28"/>
  <c r="F2251" i="28"/>
  <c r="F2250" i="28"/>
  <c r="F2249" i="28"/>
  <c r="F2248" i="28"/>
  <c r="F2247" i="28"/>
  <c r="F2246" i="28"/>
  <c r="F2245" i="28"/>
  <c r="F2244" i="28"/>
  <c r="F2243" i="28"/>
  <c r="F2242" i="28"/>
  <c r="F2241" i="28"/>
  <c r="F2240" i="28"/>
  <c r="F2239" i="28"/>
  <c r="F2238" i="28"/>
  <c r="F2237" i="28"/>
  <c r="F2236" i="28"/>
  <c r="F2235" i="28"/>
  <c r="F2234" i="28"/>
  <c r="F2233" i="28"/>
  <c r="F2232" i="28"/>
  <c r="F2231" i="28"/>
  <c r="F2230" i="28"/>
  <c r="F2229" i="28"/>
  <c r="F2228" i="28"/>
  <c r="F2227" i="28"/>
  <c r="F2226" i="28"/>
  <c r="F2225" i="28"/>
  <c r="F2224" i="28"/>
  <c r="F2223" i="28"/>
  <c r="F2222" i="28"/>
  <c r="F2221" i="28"/>
  <c r="F2220" i="28"/>
  <c r="F2219" i="28"/>
  <c r="F2218" i="28"/>
  <c r="F2217" i="28"/>
  <c r="F2216" i="28"/>
  <c r="F2211" i="28"/>
  <c r="F2210" i="28"/>
  <c r="F2209" i="28"/>
  <c r="F2208" i="28"/>
  <c r="F2207" i="28"/>
  <c r="F2206" i="28"/>
  <c r="F2205" i="28"/>
  <c r="F2204" i="28"/>
  <c r="F2203" i="28"/>
  <c r="F2202" i="28"/>
  <c r="F2201" i="28"/>
  <c r="F2200" i="28"/>
  <c r="F2199" i="28"/>
  <c r="F2198" i="28"/>
  <c r="F2197" i="28"/>
  <c r="F2196" i="28"/>
  <c r="F2195" i="28"/>
  <c r="F2194" i="28"/>
  <c r="F2193" i="28"/>
  <c r="F2192" i="28"/>
  <c r="F2191" i="28"/>
  <c r="F2190" i="28"/>
  <c r="F2189" i="28"/>
  <c r="F2188" i="28"/>
  <c r="F2187" i="28"/>
  <c r="F2186" i="28"/>
  <c r="F2185" i="28"/>
  <c r="F2184" i="28"/>
  <c r="F2183" i="28"/>
  <c r="F2182" i="28"/>
  <c r="F2181" i="28"/>
  <c r="F2180" i="28"/>
  <c r="F2179" i="28"/>
  <c r="F2178" i="28"/>
  <c r="F2177" i="28"/>
  <c r="F2176" i="28"/>
  <c r="F2175" i="28"/>
  <c r="F2174" i="28"/>
  <c r="F2173" i="28"/>
  <c r="F2172" i="28"/>
  <c r="F2171" i="28"/>
  <c r="F2170" i="28"/>
  <c r="F2169" i="28"/>
  <c r="F2168" i="28"/>
  <c r="F2167" i="28"/>
  <c r="F2166" i="28"/>
  <c r="F2165" i="28"/>
  <c r="F2164" i="28"/>
  <c r="F2163" i="28"/>
  <c r="F2162" i="28"/>
  <c r="F2161" i="28"/>
  <c r="F2160" i="28"/>
  <c r="F2159" i="28"/>
  <c r="F2158" i="28"/>
  <c r="F2157" i="28"/>
  <c r="F2156" i="28"/>
  <c r="F2155" i="28"/>
  <c r="F2154" i="28"/>
  <c r="F2153" i="28"/>
  <c r="F2152" i="28"/>
  <c r="F2151" i="28"/>
  <c r="F2150" i="28"/>
  <c r="F2149" i="28"/>
  <c r="F2148" i="28"/>
  <c r="F2147" i="28"/>
  <c r="F2146" i="28"/>
  <c r="F2145" i="28"/>
  <c r="F2144" i="28"/>
  <c r="F2143" i="28"/>
  <c r="F2142" i="28"/>
  <c r="F2141" i="28"/>
  <c r="F2140" i="28"/>
  <c r="F2139" i="28"/>
  <c r="F2138" i="28"/>
  <c r="F2137" i="28"/>
  <c r="F2136" i="28"/>
  <c r="F2135" i="28"/>
  <c r="F2134" i="28"/>
  <c r="F2133" i="28"/>
  <c r="F2132" i="28"/>
  <c r="F2131" i="28"/>
  <c r="F2130" i="28"/>
  <c r="F2129" i="28"/>
  <c r="F2128" i="28"/>
  <c r="F2127" i="28"/>
  <c r="F2126" i="28"/>
  <c r="F2125" i="28"/>
  <c r="F2124" i="28"/>
  <c r="F2123" i="28"/>
  <c r="F2122" i="28"/>
  <c r="F2121" i="28"/>
  <c r="F2120" i="28"/>
  <c r="F2119" i="28"/>
  <c r="F2118" i="28"/>
  <c r="F2117" i="28"/>
  <c r="F2116" i="28"/>
  <c r="F2115" i="28"/>
  <c r="F2114" i="28"/>
  <c r="F2113" i="28"/>
  <c r="F2112" i="28"/>
  <c r="F2111" i="28"/>
  <c r="F2110" i="28"/>
  <c r="F2109" i="28"/>
  <c r="F2108" i="28"/>
  <c r="F2107" i="28"/>
  <c r="F2106" i="28"/>
  <c r="F2105" i="28"/>
  <c r="F2104" i="28"/>
  <c r="F2103" i="28"/>
  <c r="F2102" i="28"/>
  <c r="F2101" i="28"/>
  <c r="F2100" i="28"/>
  <c r="F2099" i="28"/>
  <c r="F2098" i="28"/>
  <c r="F2097" i="28"/>
  <c r="F2096" i="28"/>
  <c r="F2095" i="28"/>
  <c r="F2094" i="28"/>
  <c r="F2093" i="28"/>
  <c r="F2092" i="28"/>
  <c r="F2091" i="28"/>
  <c r="F2090" i="28"/>
  <c r="F2089" i="28"/>
  <c r="F2088" i="28"/>
  <c r="F2087" i="28"/>
  <c r="F2086" i="28"/>
  <c r="F2085" i="28"/>
  <c r="F2084" i="28"/>
  <c r="F2083" i="28"/>
  <c r="F2082" i="28"/>
  <c r="F2081" i="28"/>
  <c r="F2080" i="28"/>
  <c r="F2079" i="28"/>
  <c r="F2078" i="28"/>
  <c r="F2077" i="28"/>
  <c r="F2076" i="28"/>
  <c r="F2075" i="28"/>
  <c r="F2074" i="28"/>
  <c r="F2073" i="28"/>
  <c r="F2072" i="28"/>
  <c r="F2071" i="28"/>
  <c r="F2070" i="28"/>
  <c r="F2069" i="28"/>
  <c r="F2068" i="28"/>
  <c r="F2067" i="28"/>
  <c r="F2066" i="28"/>
  <c r="F2065" i="28"/>
  <c r="F2064" i="28"/>
  <c r="F2063" i="28"/>
  <c r="F2062" i="28"/>
  <c r="F2061" i="28"/>
  <c r="F2060" i="28"/>
  <c r="F2059" i="28"/>
  <c r="F2058" i="28"/>
  <c r="F2057" i="28"/>
  <c r="F2056" i="28"/>
  <c r="F2055" i="28"/>
  <c r="F2054" i="28"/>
  <c r="F2053" i="28"/>
  <c r="F2052" i="28"/>
  <c r="F2051" i="28"/>
  <c r="F2050" i="28"/>
  <c r="F2045" i="28"/>
  <c r="F2044" i="28"/>
  <c r="F2043" i="28"/>
  <c r="F2042" i="28"/>
  <c r="F2041" i="28"/>
  <c r="F2040" i="28"/>
  <c r="F2039" i="28"/>
  <c r="F2038" i="28"/>
  <c r="F2037" i="28"/>
  <c r="F2036" i="28"/>
  <c r="F2035" i="28"/>
  <c r="F2034" i="28"/>
  <c r="F2033" i="28"/>
  <c r="F2032" i="28"/>
  <c r="F2031" i="28"/>
  <c r="F2030" i="28"/>
  <c r="F2029" i="28"/>
  <c r="F2028" i="28"/>
  <c r="F2027" i="28"/>
  <c r="F2026" i="28"/>
  <c r="F1995" i="28"/>
  <c r="F1994" i="28"/>
  <c r="F1993" i="28"/>
  <c r="F1992" i="28"/>
  <c r="F1991" i="28"/>
  <c r="F1990" i="28"/>
  <c r="F1989" i="28"/>
  <c r="F1988" i="28"/>
  <c r="F1987" i="28"/>
  <c r="F1986" i="28"/>
  <c r="F1985" i="28"/>
  <c r="F1984" i="28"/>
  <c r="F1983" i="28"/>
  <c r="F1982" i="28"/>
  <c r="F1981" i="28"/>
  <c r="F1980" i="28"/>
  <c r="F1979" i="28"/>
  <c r="F1978" i="28"/>
  <c r="F1977" i="28"/>
  <c r="F1976" i="28"/>
  <c r="F1975" i="28"/>
  <c r="F1974" i="28"/>
  <c r="F1973" i="28"/>
  <c r="F1972" i="28"/>
  <c r="F1971" i="28"/>
  <c r="F1970" i="28"/>
  <c r="F1969" i="28"/>
  <c r="F1968" i="28"/>
  <c r="F1967" i="28"/>
  <c r="F1966" i="28"/>
  <c r="F1959" i="28"/>
  <c r="F1958" i="28"/>
  <c r="F1870" i="28"/>
  <c r="F1869" i="28"/>
  <c r="F1868" i="28"/>
  <c r="F1867" i="28"/>
  <c r="F1866" i="28"/>
  <c r="F1865" i="28"/>
  <c r="F1864" i="28"/>
  <c r="F1863" i="28"/>
  <c r="F1862" i="28"/>
  <c r="F1861" i="28"/>
  <c r="F1860" i="28"/>
  <c r="F1859" i="28"/>
  <c r="F1858" i="28"/>
  <c r="F1857" i="28"/>
  <c r="F1856" i="28"/>
  <c r="F1855" i="28"/>
  <c r="F1854" i="28"/>
  <c r="F1853" i="28"/>
  <c r="F1852" i="28"/>
  <c r="F1851" i="28"/>
  <c r="F1850" i="28"/>
  <c r="F1849" i="28"/>
  <c r="F1848" i="28"/>
  <c r="F1847" i="28"/>
  <c r="F1846" i="28"/>
  <c r="F1845" i="28"/>
  <c r="F1844" i="28"/>
  <c r="F1843" i="28"/>
  <c r="F1842" i="28"/>
  <c r="F1841" i="28"/>
  <c r="F1840" i="28"/>
  <c r="F1839" i="28"/>
  <c r="F1838" i="28"/>
  <c r="F1837" i="28"/>
  <c r="F1836" i="28"/>
  <c r="F1835" i="28"/>
  <c r="F1834" i="28"/>
  <c r="F1833" i="28"/>
  <c r="F1832" i="28"/>
  <c r="F1831" i="28"/>
  <c r="F1830" i="28"/>
  <c r="F1829" i="28"/>
  <c r="F1828" i="28"/>
  <c r="F1827" i="28"/>
  <c r="F1826" i="28"/>
  <c r="F1825" i="28"/>
  <c r="F1824" i="28"/>
  <c r="F1823" i="28"/>
  <c r="F1822" i="28"/>
  <c r="F1821" i="28"/>
  <c r="F1820" i="28"/>
  <c r="F1819" i="28"/>
  <c r="F1818" i="28"/>
  <c r="F1817" i="28"/>
  <c r="F1816" i="28"/>
  <c r="F1815" i="28"/>
  <c r="F1814" i="28"/>
  <c r="F1813" i="28"/>
  <c r="F1812" i="28"/>
  <c r="F1811" i="28"/>
  <c r="F1810" i="28"/>
  <c r="F1809" i="28"/>
  <c r="F1808" i="28"/>
  <c r="F1807" i="28"/>
  <c r="F1806" i="28"/>
  <c r="F1805" i="28"/>
  <c r="F1804" i="28"/>
  <c r="F1803" i="28"/>
  <c r="F1802" i="28"/>
  <c r="F1801" i="28"/>
  <c r="F1800" i="28"/>
  <c r="F1799" i="28"/>
  <c r="F1798" i="28"/>
  <c r="F1797" i="28"/>
  <c r="F1796" i="28"/>
  <c r="F1795" i="28"/>
  <c r="F1794" i="28"/>
  <c r="F1793" i="28"/>
  <c r="F1792" i="28"/>
  <c r="F1791" i="28"/>
  <c r="F1790" i="28"/>
  <c r="F1789" i="28"/>
  <c r="F1788" i="28"/>
  <c r="F1787" i="28"/>
  <c r="F1786" i="28"/>
  <c r="F1785" i="28"/>
  <c r="F1784" i="28"/>
  <c r="F1783" i="28"/>
  <c r="F1782" i="28"/>
  <c r="F1781" i="28"/>
  <c r="F1780" i="28"/>
  <c r="F1779" i="28"/>
  <c r="F1778" i="28"/>
  <c r="F1777" i="28"/>
  <c r="F1776" i="28"/>
  <c r="F1775" i="28"/>
  <c r="F1774" i="28"/>
  <c r="F1773" i="28"/>
  <c r="F1772" i="28"/>
  <c r="F1771" i="28"/>
  <c r="F1770" i="28"/>
  <c r="F1769" i="28"/>
  <c r="F1768" i="28"/>
  <c r="F1767" i="28"/>
  <c r="F1766" i="28"/>
  <c r="F1765" i="28"/>
  <c r="F1764" i="28"/>
  <c r="F1763" i="28"/>
  <c r="F1762" i="28"/>
  <c r="F1761" i="28"/>
  <c r="F1760" i="28"/>
  <c r="F1759" i="28"/>
  <c r="F1758" i="28"/>
  <c r="F1757" i="28"/>
  <c r="F1756" i="28"/>
  <c r="F1755" i="28"/>
  <c r="F1754" i="28"/>
  <c r="F1753" i="28"/>
  <c r="F1752" i="28"/>
  <c r="F1751" i="28"/>
  <c r="F1750" i="28"/>
  <c r="F1749" i="28"/>
  <c r="F1748" i="28"/>
  <c r="F1747" i="28"/>
  <c r="F1746" i="28"/>
  <c r="F1745" i="28"/>
  <c r="F1744" i="28"/>
  <c r="F1743" i="28"/>
  <c r="F1742" i="28"/>
  <c r="F1741" i="28"/>
  <c r="F1740" i="28"/>
  <c r="F1739" i="28"/>
  <c r="F1738" i="28"/>
  <c r="F1737" i="28"/>
  <c r="F1736" i="28"/>
  <c r="F1735" i="28"/>
  <c r="F1734" i="28"/>
  <c r="F1733" i="28"/>
  <c r="F1732" i="28"/>
  <c r="F1731" i="28"/>
  <c r="F1730" i="28"/>
  <c r="F1729" i="28"/>
  <c r="F1728" i="28"/>
  <c r="F1727" i="28"/>
  <c r="F1726" i="28"/>
  <c r="F1725" i="28"/>
  <c r="F1724" i="28"/>
  <c r="F1723" i="28"/>
  <c r="F1722" i="28"/>
  <c r="F1721" i="28"/>
  <c r="F1720" i="28"/>
  <c r="F1719" i="28"/>
  <c r="F1718" i="28"/>
  <c r="F1717" i="28"/>
  <c r="F1716" i="28"/>
  <c r="F1715" i="28"/>
  <c r="F1714" i="28"/>
  <c r="F1713" i="28"/>
  <c r="F1712" i="28"/>
  <c r="F1711" i="28"/>
  <c r="F1710" i="28"/>
  <c r="F1709" i="28"/>
  <c r="F1708" i="28"/>
  <c r="F1707" i="28"/>
  <c r="F1706" i="28"/>
  <c r="F1705" i="28"/>
  <c r="F1704" i="28"/>
  <c r="F1703" i="28"/>
  <c r="F1702" i="28"/>
  <c r="F1701" i="28"/>
  <c r="F1700" i="28"/>
  <c r="F1699" i="28"/>
  <c r="F1698" i="28"/>
  <c r="F1697" i="28"/>
  <c r="F1696" i="28"/>
  <c r="F1695" i="28"/>
  <c r="F1694" i="28"/>
  <c r="F1693" i="28"/>
  <c r="F1692" i="28"/>
  <c r="F1691" i="28"/>
  <c r="F1690" i="28"/>
  <c r="F1689" i="28"/>
  <c r="F1688" i="28"/>
  <c r="F1687" i="28"/>
  <c r="F1686" i="28"/>
  <c r="F1685" i="28"/>
  <c r="F1684" i="28"/>
  <c r="F1683" i="28"/>
  <c r="F1682" i="28"/>
  <c r="F1681" i="28"/>
  <c r="F1680" i="28"/>
  <c r="F1679" i="28"/>
  <c r="F1678" i="28"/>
  <c r="F1677" i="28"/>
  <c r="F1676" i="28"/>
  <c r="F1675" i="28"/>
  <c r="F1674" i="28"/>
  <c r="F1673" i="28"/>
  <c r="F1672" i="28"/>
  <c r="F1671" i="28"/>
  <c r="F1670" i="28"/>
  <c r="F1669" i="28"/>
  <c r="F1668" i="28"/>
  <c r="F1667" i="28"/>
  <c r="F1666" i="28"/>
  <c r="F1665" i="28"/>
  <c r="F1664" i="28"/>
  <c r="F1663" i="28"/>
  <c r="F1662" i="28"/>
  <c r="F1661" i="28"/>
  <c r="F1660" i="28"/>
  <c r="F1659" i="28"/>
  <c r="F1658" i="28"/>
  <c r="F1657" i="28"/>
  <c r="F1656" i="28"/>
  <c r="F1655" i="28"/>
  <c r="F1654" i="28"/>
  <c r="F1653" i="28"/>
  <c r="F1652" i="28"/>
  <c r="F1651" i="28"/>
  <c r="F1650" i="28"/>
  <c r="F1649" i="28"/>
  <c r="F1648" i="28"/>
  <c r="F1647" i="28"/>
  <c r="F1646" i="28"/>
  <c r="F1645" i="28"/>
  <c r="F1644" i="28"/>
  <c r="F1643" i="28"/>
  <c r="F1642" i="28"/>
  <c r="F1641" i="28"/>
  <c r="F1640" i="28"/>
  <c r="F1639" i="28"/>
  <c r="F1638" i="28"/>
  <c r="F1637" i="28"/>
  <c r="F1636" i="28"/>
  <c r="F1635" i="28"/>
  <c r="F1634" i="28"/>
  <c r="F1633" i="28"/>
  <c r="F1632" i="28"/>
  <c r="F1631" i="28"/>
  <c r="F1630" i="28"/>
  <c r="F1629" i="28"/>
  <c r="F1628" i="28"/>
  <c r="F1627" i="28"/>
  <c r="F1626" i="28"/>
  <c r="F1625" i="28"/>
  <c r="F1624" i="28"/>
  <c r="F1623" i="28"/>
  <c r="F1622" i="28"/>
  <c r="F1621" i="28"/>
  <c r="F1620" i="28"/>
  <c r="F1619" i="28"/>
  <c r="F1618" i="28"/>
  <c r="F1617" i="28"/>
  <c r="F1616" i="28"/>
  <c r="F1615" i="28"/>
  <c r="F1614" i="28"/>
  <c r="F1613" i="28"/>
  <c r="F1612" i="28"/>
  <c r="F1611" i="28"/>
  <c r="F1610" i="28"/>
  <c r="F1609" i="28"/>
  <c r="F1608" i="28"/>
  <c r="F1607" i="28"/>
  <c r="F1606" i="28"/>
  <c r="F1605" i="28"/>
  <c r="F1604" i="28"/>
  <c r="F1603" i="28"/>
  <c r="F1602" i="28"/>
  <c r="F1601" i="28"/>
  <c r="F1600" i="28"/>
  <c r="F1599" i="28"/>
  <c r="F1598" i="28"/>
  <c r="F1597" i="28"/>
  <c r="F1596" i="28"/>
  <c r="F1595" i="28"/>
  <c r="F1594" i="28"/>
  <c r="F1593" i="28"/>
  <c r="F1592" i="28"/>
  <c r="F1591" i="28"/>
  <c r="F1590" i="28"/>
  <c r="F1589" i="28"/>
  <c r="F1588" i="28"/>
  <c r="F1587" i="28"/>
  <c r="F1586" i="28"/>
  <c r="F1585" i="28"/>
  <c r="F1584" i="28"/>
  <c r="F1583" i="28"/>
  <c r="F1582" i="28"/>
  <c r="F1581" i="28"/>
  <c r="F1580" i="28"/>
  <c r="F1579" i="28"/>
  <c r="F1578" i="28"/>
  <c r="F1577" i="28"/>
  <c r="F1576" i="28"/>
  <c r="F1575" i="28"/>
  <c r="F1574" i="28"/>
  <c r="F1573" i="28"/>
  <c r="F1572" i="28"/>
  <c r="F1571" i="28"/>
  <c r="F1570" i="28"/>
  <c r="F1569" i="28"/>
  <c r="F1568" i="28"/>
  <c r="F1567" i="28"/>
  <c r="F1566" i="28"/>
  <c r="F1565" i="28"/>
  <c r="F1564" i="28"/>
  <c r="F1563" i="28"/>
  <c r="F1562" i="28"/>
  <c r="F1561" i="28"/>
  <c r="F1560" i="28"/>
  <c r="F1559" i="28"/>
  <c r="F1558" i="28"/>
  <c r="F1557" i="28"/>
  <c r="F1556" i="28"/>
  <c r="F1555" i="28"/>
  <c r="F1554" i="28"/>
  <c r="F1553" i="28"/>
  <c r="F1552" i="28"/>
  <c r="F1551" i="28"/>
  <c r="F1550" i="28"/>
  <c r="F1549" i="28"/>
  <c r="F1548" i="28"/>
  <c r="F1547" i="28"/>
  <c r="F1546" i="28"/>
  <c r="F1545" i="28"/>
  <c r="F1544" i="28"/>
  <c r="F1543" i="28"/>
  <c r="F1542" i="28"/>
  <c r="F1541" i="28"/>
  <c r="F1540" i="28"/>
  <c r="F1539" i="28"/>
  <c r="F1538" i="28"/>
  <c r="F1537" i="28"/>
  <c r="F1536" i="28"/>
  <c r="F1535" i="28"/>
  <c r="F1534" i="28"/>
  <c r="F1533" i="28"/>
  <c r="F1532" i="28"/>
  <c r="F1531" i="28"/>
  <c r="F1530" i="28"/>
  <c r="F1529" i="28"/>
  <c r="F1528" i="28"/>
  <c r="F1527" i="28"/>
  <c r="F1526" i="28"/>
  <c r="F1525" i="28"/>
  <c r="F1524" i="28"/>
  <c r="F1523" i="28"/>
  <c r="F1522" i="28"/>
  <c r="F1521" i="28"/>
  <c r="F1520" i="28"/>
  <c r="F1519" i="28"/>
  <c r="F1518" i="28"/>
  <c r="F1517" i="28"/>
  <c r="F1516" i="28"/>
  <c r="F1515" i="28"/>
  <c r="F1514" i="28"/>
  <c r="F1513" i="28"/>
  <c r="F1512" i="28"/>
  <c r="F1511" i="28"/>
  <c r="F1510" i="28"/>
  <c r="F1509" i="28"/>
  <c r="F1508" i="28"/>
  <c r="F1507" i="28"/>
  <c r="F1506" i="28"/>
  <c r="F1505" i="28"/>
  <c r="F1504" i="28"/>
  <c r="F1503" i="28"/>
  <c r="F1502" i="28"/>
  <c r="F1501" i="28"/>
  <c r="F1500" i="28"/>
  <c r="F1499" i="28"/>
  <c r="F1498" i="28"/>
  <c r="F1497" i="28"/>
  <c r="F1496" i="28"/>
  <c r="F1495" i="28"/>
  <c r="F1494" i="28"/>
  <c r="F1493" i="28"/>
  <c r="F1492" i="28"/>
  <c r="F1491" i="28"/>
  <c r="F1490" i="28"/>
  <c r="F1489" i="28"/>
  <c r="F1488" i="28"/>
  <c r="F1487" i="28"/>
  <c r="F1486" i="28"/>
  <c r="F1485" i="28"/>
  <c r="F1484" i="28"/>
  <c r="F1483" i="28"/>
  <c r="F1482" i="28"/>
  <c r="F1481" i="28"/>
  <c r="F1480" i="28"/>
  <c r="F1479" i="28"/>
  <c r="F1478" i="28"/>
  <c r="F1477" i="28"/>
  <c r="F1476" i="28"/>
  <c r="F1475" i="28"/>
  <c r="F1474" i="28"/>
  <c r="F1473" i="28"/>
  <c r="F1472" i="28"/>
  <c r="F1471" i="28"/>
  <c r="F1470" i="28"/>
  <c r="F1469" i="28"/>
  <c r="F1468" i="28"/>
  <c r="F1467" i="28"/>
  <c r="F1466" i="28"/>
  <c r="F1465" i="28"/>
  <c r="F1464" i="28"/>
  <c r="F1463" i="28"/>
  <c r="F1462" i="28"/>
  <c r="F1461" i="28"/>
  <c r="F1460" i="28"/>
  <c r="F1459" i="28"/>
  <c r="F1458" i="28"/>
  <c r="F1457" i="28"/>
  <c r="F1456" i="28"/>
  <c r="F1455" i="28"/>
  <c r="F1454" i="28"/>
  <c r="F1453" i="28"/>
  <c r="F1452" i="28"/>
  <c r="F1451" i="28"/>
  <c r="F1450" i="28"/>
  <c r="F1449" i="28"/>
  <c r="F1448" i="28"/>
  <c r="F1447" i="28"/>
  <c r="F1446" i="28"/>
  <c r="F1445" i="28"/>
  <c r="F1444" i="28"/>
  <c r="F1443" i="28"/>
  <c r="F1442" i="28"/>
  <c r="F1441" i="28"/>
  <c r="F1440" i="28"/>
  <c r="F1439" i="28"/>
  <c r="F1438" i="28"/>
  <c r="F1437" i="28"/>
  <c r="F1436" i="28"/>
  <c r="F1435" i="28"/>
  <c r="F1434" i="28"/>
  <c r="F1433" i="28"/>
  <c r="F1432" i="28"/>
  <c r="F1431" i="28"/>
  <c r="F1430" i="28"/>
  <c r="F1429" i="28"/>
  <c r="F1428" i="28"/>
  <c r="F1427" i="28"/>
  <c r="F1426" i="28"/>
  <c r="F1425" i="28"/>
  <c r="F1424" i="28"/>
  <c r="F1423" i="28"/>
  <c r="F1422" i="28"/>
  <c r="F1421" i="28"/>
  <c r="F1420" i="28"/>
  <c r="F1419" i="28"/>
  <c r="F1418" i="28"/>
  <c r="F1417" i="28"/>
  <c r="F1416" i="28"/>
  <c r="F1415" i="28"/>
  <c r="F1414" i="28"/>
  <c r="F1413" i="28"/>
  <c r="F1412" i="28"/>
  <c r="F1411" i="28"/>
  <c r="F1410" i="28"/>
  <c r="F1409" i="28"/>
  <c r="F1408" i="28"/>
  <c r="F1407" i="28"/>
  <c r="F1406" i="28"/>
  <c r="F1405" i="28"/>
  <c r="F1404" i="28"/>
  <c r="F1403" i="28"/>
  <c r="F1402" i="28"/>
  <c r="F1401" i="28"/>
  <c r="F1400" i="28"/>
  <c r="F1399" i="28"/>
  <c r="F1398" i="28"/>
  <c r="F1397" i="28"/>
  <c r="F1396" i="28"/>
  <c r="F1395" i="28"/>
  <c r="F1394" i="28"/>
  <c r="F1393" i="28"/>
  <c r="F1392" i="28"/>
  <c r="F1391" i="28"/>
  <c r="F1390" i="28"/>
  <c r="F1389" i="28"/>
  <c r="F1388" i="28"/>
  <c r="F1387" i="28"/>
  <c r="F1386" i="28"/>
  <c r="F1385" i="28"/>
  <c r="F1384" i="28"/>
  <c r="F1383" i="28"/>
  <c r="F1382" i="28"/>
  <c r="F1381" i="28"/>
  <c r="F1380" i="28"/>
  <c r="F1379" i="28"/>
  <c r="F1378" i="28"/>
  <c r="F1377" i="28"/>
  <c r="F1376" i="28"/>
  <c r="F1375" i="28"/>
  <c r="F1374" i="28"/>
  <c r="F1373" i="28"/>
  <c r="F1372" i="28"/>
  <c r="F1371" i="28"/>
  <c r="F1370" i="28"/>
  <c r="F1369" i="28"/>
  <c r="F1368" i="28"/>
  <c r="F1367" i="28"/>
  <c r="F1366" i="28"/>
  <c r="F1365" i="28"/>
  <c r="F1364" i="28"/>
  <c r="F1363" i="28"/>
  <c r="F1362" i="28"/>
  <c r="F1361" i="28"/>
  <c r="F1360" i="28"/>
  <c r="F1359" i="28"/>
  <c r="F1358" i="28"/>
  <c r="F1357" i="28"/>
  <c r="F1356" i="28"/>
  <c r="F1355" i="28"/>
  <c r="F1354" i="28"/>
  <c r="F1353" i="28"/>
  <c r="F1352" i="28"/>
  <c r="F1351" i="28"/>
  <c r="F1350" i="28"/>
  <c r="F1349" i="28"/>
  <c r="F1348" i="28"/>
  <c r="F1347" i="28"/>
  <c r="F1346" i="28"/>
  <c r="F1345" i="28"/>
  <c r="F1344" i="28"/>
  <c r="F1343" i="28"/>
  <c r="F1342" i="28"/>
  <c r="F1341" i="28"/>
  <c r="F1340" i="28"/>
  <c r="F1339" i="28"/>
  <c r="F1338" i="28"/>
  <c r="F1337" i="28"/>
  <c r="F1336" i="28"/>
  <c r="F1335" i="28"/>
  <c r="F1334" i="28"/>
  <c r="F1333" i="28"/>
  <c r="F1332" i="28"/>
  <c r="F1331" i="28"/>
  <c r="F1330" i="28"/>
  <c r="F1329" i="28"/>
  <c r="F1328" i="28"/>
  <c r="F1327" i="28"/>
  <c r="F1326" i="28"/>
  <c r="F1325" i="28"/>
  <c r="F1324" i="28"/>
  <c r="F1323" i="28"/>
  <c r="F1322" i="28"/>
  <c r="F1321" i="28"/>
  <c r="F1320" i="28"/>
  <c r="F1319" i="28"/>
  <c r="F1318" i="28"/>
  <c r="F1317" i="28"/>
  <c r="F1316" i="28"/>
  <c r="F1315" i="28"/>
  <c r="F1314" i="28"/>
  <c r="F1313" i="28"/>
  <c r="F1312" i="28"/>
  <c r="F1311" i="28"/>
  <c r="F1310" i="28"/>
  <c r="F1309" i="28"/>
  <c r="F1308" i="28"/>
  <c r="F1307" i="28"/>
  <c r="F1306" i="28"/>
  <c r="F1305" i="28"/>
  <c r="F1304" i="28"/>
  <c r="F1303" i="28"/>
  <c r="F1302" i="28"/>
  <c r="F1301" i="28"/>
  <c r="F1300" i="28"/>
  <c r="F1299" i="28"/>
  <c r="F1298" i="28"/>
  <c r="F1297" i="28"/>
  <c r="F1296" i="28"/>
  <c r="F1295" i="28"/>
  <c r="F1294" i="28"/>
  <c r="F1293" i="28"/>
  <c r="F1292" i="28"/>
  <c r="F1291" i="28"/>
  <c r="F1290" i="28"/>
  <c r="F1289" i="28"/>
  <c r="F1288" i="28"/>
  <c r="F1287" i="28"/>
  <c r="F1286" i="28"/>
  <c r="F1285" i="28"/>
  <c r="F1284" i="28"/>
  <c r="F1283" i="28"/>
  <c r="F1282" i="28"/>
  <c r="F1281" i="28"/>
  <c r="F1280" i="28"/>
  <c r="F1279" i="28"/>
  <c r="F1278" i="28"/>
  <c r="F1277" i="28"/>
  <c r="F1276" i="28"/>
  <c r="F1275" i="28"/>
  <c r="F1274" i="28"/>
  <c r="F1273" i="28"/>
  <c r="F1272" i="28"/>
  <c r="F1271" i="28"/>
  <c r="F1270" i="28"/>
  <c r="F1269" i="28"/>
  <c r="F1268" i="28"/>
  <c r="F1267" i="28"/>
  <c r="F1266" i="28"/>
  <c r="F1265" i="28"/>
  <c r="F1264" i="28"/>
  <c r="F1263" i="28"/>
  <c r="F1262" i="28"/>
  <c r="F1261" i="28"/>
  <c r="F1260" i="28"/>
  <c r="F1259" i="28"/>
  <c r="F1258" i="28"/>
  <c r="F1257" i="28"/>
  <c r="F1256" i="28"/>
  <c r="F1255" i="28"/>
  <c r="F1254" i="28"/>
  <c r="F1253" i="28"/>
  <c r="F1252" i="28"/>
  <c r="F1251" i="28"/>
  <c r="F1250" i="28"/>
  <c r="F1249" i="28"/>
  <c r="F1248" i="28"/>
  <c r="F1247" i="28"/>
  <c r="F1246" i="28"/>
  <c r="F1245" i="28"/>
  <c r="F1244" i="28"/>
  <c r="F1243" i="28"/>
  <c r="F1242" i="28"/>
  <c r="F1241" i="28"/>
  <c r="F1240" i="28"/>
  <c r="F1239" i="28"/>
  <c r="F1238" i="28"/>
  <c r="F1237" i="28"/>
  <c r="F1236" i="28"/>
  <c r="F1235" i="28"/>
  <c r="F1234" i="28"/>
  <c r="F1233" i="28"/>
  <c r="F1232" i="28"/>
  <c r="F1231" i="28"/>
  <c r="F1230" i="28"/>
  <c r="F1229" i="28"/>
  <c r="F1228" i="28"/>
  <c r="F1227" i="28"/>
  <c r="F1226" i="28"/>
  <c r="F1225" i="28"/>
  <c r="F1224" i="28"/>
  <c r="F1223" i="28"/>
  <c r="F1222" i="28"/>
  <c r="F1221" i="28"/>
  <c r="F1220" i="28"/>
  <c r="F1219" i="28"/>
  <c r="F1218" i="28"/>
  <c r="F1217" i="28"/>
  <c r="F1216" i="28"/>
  <c r="F1215" i="28"/>
  <c r="F1214" i="28"/>
  <c r="F1213" i="28"/>
  <c r="F1212" i="28"/>
  <c r="F1211" i="28"/>
  <c r="F1210" i="28"/>
  <c r="F1209" i="28"/>
  <c r="F1208" i="28"/>
  <c r="F1207" i="28"/>
  <c r="F1206" i="28"/>
  <c r="F1205" i="28"/>
  <c r="F1204" i="28"/>
  <c r="F1203" i="28"/>
  <c r="F1202" i="28"/>
  <c r="F1201" i="28"/>
  <c r="F1200" i="28"/>
  <c r="F1199" i="28"/>
  <c r="F1198" i="28"/>
  <c r="F1197" i="28"/>
  <c r="F1196" i="28"/>
  <c r="F1195" i="28"/>
  <c r="F1194" i="28"/>
  <c r="F1193" i="28"/>
  <c r="F1192" i="28"/>
  <c r="F1191" i="28"/>
  <c r="F1190" i="28"/>
  <c r="F1189" i="28"/>
  <c r="F1188" i="28"/>
  <c r="F1187" i="28"/>
  <c r="F1186" i="28"/>
  <c r="F1185" i="28"/>
  <c r="F1184" i="28"/>
  <c r="F1183" i="28"/>
  <c r="F1182" i="28"/>
  <c r="F1181" i="28"/>
  <c r="F1180" i="28"/>
  <c r="F1179" i="28"/>
  <c r="F1178" i="28"/>
  <c r="F1177" i="28"/>
  <c r="F1176" i="28"/>
  <c r="F1175" i="28"/>
  <c r="F1174" i="28"/>
  <c r="F1173" i="28"/>
  <c r="F1172" i="28"/>
  <c r="F1171" i="28"/>
  <c r="F1170" i="28"/>
  <c r="F1169" i="28"/>
  <c r="F1168" i="28"/>
  <c r="F1167" i="28"/>
  <c r="F1166" i="28"/>
  <c r="F1165" i="28"/>
  <c r="F1164" i="28"/>
  <c r="F1163" i="28"/>
  <c r="F1162" i="28"/>
  <c r="F1161" i="28"/>
  <c r="F1160" i="28"/>
  <c r="F1159" i="28"/>
  <c r="F1158" i="28"/>
  <c r="F1157" i="28"/>
  <c r="F1156" i="28"/>
  <c r="F1155" i="28"/>
  <c r="F1154" i="28"/>
  <c r="F1153" i="28"/>
  <c r="F1152" i="28"/>
  <c r="F1151" i="28"/>
  <c r="F1150" i="28"/>
  <c r="F1149" i="28"/>
  <c r="F1148" i="28"/>
  <c r="F1147" i="28"/>
  <c r="F1146" i="28"/>
  <c r="F1145" i="28"/>
  <c r="F1144" i="28"/>
  <c r="F1143" i="28"/>
  <c r="F1142" i="28"/>
  <c r="F1141" i="28"/>
  <c r="F1140" i="28"/>
  <c r="F1139" i="28"/>
  <c r="F1138" i="28"/>
  <c r="F1137" i="28"/>
  <c r="F1136" i="28"/>
  <c r="F1135" i="28"/>
  <c r="F1134" i="28"/>
  <c r="F1133" i="28"/>
  <c r="F1132" i="28"/>
  <c r="F1131" i="28"/>
  <c r="F1130" i="28"/>
  <c r="F1129" i="28"/>
  <c r="F1128" i="28"/>
  <c r="F1127" i="28"/>
  <c r="F1126" i="28"/>
  <c r="F1125" i="28"/>
  <c r="F1124" i="28"/>
  <c r="F1123" i="28"/>
  <c r="F1122" i="28"/>
  <c r="F1121" i="28"/>
  <c r="F1120" i="28"/>
  <c r="F1119" i="28"/>
  <c r="F1118" i="28"/>
  <c r="F1117" i="28"/>
  <c r="F1116" i="28"/>
  <c r="F1115" i="28"/>
  <c r="F1114" i="28"/>
  <c r="F1113" i="28"/>
  <c r="F1112" i="28"/>
  <c r="F1111" i="28"/>
  <c r="F1110" i="28"/>
  <c r="F1109" i="28"/>
  <c r="F1108" i="28"/>
  <c r="F1107" i="28"/>
  <c r="F1106" i="28"/>
  <c r="F1105" i="28"/>
  <c r="F1104" i="28"/>
  <c r="F1103" i="28"/>
  <c r="F1102" i="28"/>
  <c r="F1101" i="28"/>
  <c r="F1100" i="28"/>
  <c r="F1099" i="28"/>
  <c r="F1098" i="28"/>
  <c r="F1097" i="28"/>
  <c r="F1096" i="28"/>
  <c r="F1095" i="28"/>
  <c r="F1094" i="28"/>
  <c r="F1093" i="28"/>
  <c r="F1092" i="28"/>
  <c r="F1091" i="28"/>
  <c r="F1090" i="28"/>
  <c r="F1089" i="28"/>
  <c r="F1088" i="28"/>
  <c r="F1087" i="28"/>
  <c r="F1086" i="28"/>
  <c r="F1085" i="28"/>
  <c r="F1084" i="28"/>
  <c r="F1083" i="28"/>
  <c r="F1082" i="28"/>
  <c r="F1081" i="28"/>
  <c r="F1080" i="28"/>
  <c r="F1079" i="28"/>
  <c r="F1078" i="28"/>
  <c r="F1077" i="28"/>
  <c r="F1076" i="28"/>
  <c r="F1075" i="28"/>
  <c r="F1074" i="28"/>
  <c r="F1073" i="28"/>
  <c r="F1072" i="28"/>
  <c r="F1071" i="28"/>
  <c r="F1070" i="28"/>
  <c r="F1069" i="28"/>
  <c r="F1068" i="28"/>
  <c r="F1067" i="28"/>
  <c r="F1066" i="28"/>
  <c r="F1065" i="28"/>
  <c r="F1064" i="28"/>
  <c r="F1063" i="28"/>
  <c r="F1062" i="28"/>
  <c r="F1061" i="28"/>
  <c r="F1060" i="28"/>
  <c r="F1059" i="28"/>
  <c r="F1058" i="28"/>
  <c r="F1057" i="28"/>
  <c r="F1056" i="28"/>
  <c r="F1055" i="28"/>
  <c r="F1054" i="28"/>
  <c r="F1053" i="28"/>
  <c r="F1052" i="28"/>
  <c r="F1051" i="28"/>
  <c r="F1050" i="28"/>
  <c r="F1049" i="28"/>
  <c r="F1048" i="28"/>
  <c r="F1047" i="28"/>
  <c r="F1046" i="28"/>
  <c r="F1045" i="28"/>
  <c r="F1044" i="28"/>
  <c r="F1043" i="28"/>
  <c r="F1042" i="28"/>
  <c r="F1023" i="28"/>
  <c r="F1022" i="28"/>
  <c r="F1021" i="28"/>
  <c r="F1020" i="28"/>
  <c r="F1019" i="28"/>
  <c r="F1018" i="28"/>
  <c r="F1017" i="28"/>
  <c r="F1016" i="28"/>
  <c r="F1015" i="28"/>
  <c r="F1014" i="28"/>
  <c r="F1013" i="28"/>
  <c r="F1012" i="28"/>
  <c r="F1011" i="28"/>
  <c r="F1010" i="28"/>
  <c r="F1009" i="28"/>
  <c r="F1008" i="28"/>
  <c r="F1007" i="28"/>
  <c r="F1006" i="28"/>
  <c r="F1005" i="28"/>
  <c r="F1004" i="28"/>
  <c r="F1003" i="28"/>
  <c r="F1002" i="28"/>
  <c r="F1001" i="28"/>
  <c r="F1000" i="28"/>
  <c r="F981" i="28"/>
  <c r="F980" i="28"/>
  <c r="F979" i="28"/>
  <c r="F978" i="28"/>
  <c r="F977" i="28"/>
  <c r="F976" i="28"/>
  <c r="F975" i="28"/>
  <c r="F974" i="28"/>
  <c r="F973" i="28"/>
  <c r="F972" i="28"/>
  <c r="F971" i="28"/>
  <c r="F970" i="28"/>
  <c r="F969" i="28"/>
  <c r="F968" i="28"/>
  <c r="F967" i="28"/>
  <c r="F966" i="28"/>
  <c r="F965" i="28"/>
  <c r="F964" i="28"/>
  <c r="F963" i="28"/>
  <c r="F962" i="28"/>
  <c r="F961" i="28"/>
  <c r="F960" i="28"/>
  <c r="F959" i="28"/>
  <c r="F958" i="28"/>
  <c r="F957" i="28"/>
  <c r="F956" i="28"/>
  <c r="F955" i="28"/>
  <c r="F954" i="28"/>
  <c r="F953" i="28"/>
  <c r="F952" i="28"/>
  <c r="F951" i="28"/>
  <c r="F950" i="28"/>
  <c r="F949" i="28"/>
  <c r="F948" i="28"/>
  <c r="F947" i="28"/>
  <c r="F946" i="28"/>
  <c r="F945" i="28"/>
  <c r="F944" i="28"/>
  <c r="F943" i="28"/>
  <c r="F942" i="28"/>
  <c r="F941" i="28"/>
  <c r="F940" i="28"/>
  <c r="F939" i="28"/>
  <c r="F938" i="28"/>
  <c r="F937" i="28"/>
  <c r="F936" i="28"/>
  <c r="F935" i="28"/>
  <c r="F934" i="28"/>
  <c r="F933" i="28"/>
  <c r="F932" i="28"/>
  <c r="F931" i="28"/>
  <c r="F930" i="28"/>
  <c r="F929" i="28"/>
  <c r="F928" i="28"/>
  <c r="F927" i="28"/>
  <c r="F926" i="28"/>
  <c r="F925" i="28"/>
  <c r="F924" i="28"/>
  <c r="F923" i="28"/>
  <c r="F922" i="28"/>
  <c r="F921" i="28"/>
  <c r="F920" i="28"/>
  <c r="F919" i="28"/>
  <c r="F918" i="28"/>
  <c r="F917" i="28"/>
  <c r="F916" i="28"/>
  <c r="F915" i="28"/>
  <c r="F914" i="28"/>
  <c r="F913" i="28"/>
  <c r="F912" i="28"/>
  <c r="F911" i="28"/>
  <c r="F910" i="28"/>
  <c r="F909" i="28"/>
  <c r="F908" i="28"/>
  <c r="F907" i="28"/>
  <c r="F906" i="28"/>
  <c r="F905" i="28"/>
  <c r="F904" i="28"/>
  <c r="F903" i="28"/>
  <c r="F902" i="28"/>
  <c r="F901" i="28"/>
  <c r="F900" i="28"/>
  <c r="F899" i="28"/>
  <c r="F898" i="28"/>
  <c r="F897" i="28"/>
  <c r="F896" i="28"/>
  <c r="F895" i="28"/>
  <c r="F894" i="28"/>
  <c r="F893" i="28"/>
  <c r="F892" i="28"/>
  <c r="F891" i="28"/>
  <c r="F890" i="28"/>
  <c r="F889" i="28"/>
  <c r="F888" i="28"/>
  <c r="F887" i="28"/>
  <c r="F886" i="28"/>
  <c r="F885" i="28"/>
  <c r="F884" i="28"/>
  <c r="F883" i="28"/>
  <c r="F882" i="28"/>
  <c r="F881" i="28"/>
  <c r="F880" i="28"/>
  <c r="F879" i="28"/>
  <c r="F878" i="28"/>
  <c r="F877" i="28"/>
  <c r="F876" i="28"/>
  <c r="F875" i="28"/>
  <c r="F874" i="28"/>
  <c r="F873" i="28"/>
  <c r="F872" i="28"/>
  <c r="F871" i="28"/>
  <c r="F870" i="28"/>
  <c r="F869" i="28"/>
  <c r="F868" i="28"/>
  <c r="F867" i="28"/>
  <c r="F866" i="28"/>
  <c r="F865" i="28"/>
  <c r="F864" i="28"/>
  <c r="F863" i="28"/>
  <c r="F862" i="28"/>
  <c r="F861" i="28"/>
  <c r="F860" i="28"/>
  <c r="F859" i="28"/>
  <c r="F858" i="28"/>
  <c r="F857" i="28"/>
  <c r="F856" i="28"/>
  <c r="F855" i="28"/>
  <c r="F854" i="28"/>
  <c r="F853" i="28"/>
  <c r="F852" i="28"/>
  <c r="F851" i="28"/>
  <c r="F850" i="28"/>
  <c r="F849" i="28"/>
  <c r="F848" i="28"/>
  <c r="F847" i="28"/>
  <c r="F846" i="28"/>
  <c r="F845" i="28"/>
  <c r="F844" i="28"/>
  <c r="F843" i="28"/>
  <c r="F842" i="28"/>
  <c r="F841" i="28"/>
  <c r="F840" i="28"/>
  <c r="F839" i="28"/>
  <c r="F838" i="28"/>
  <c r="F837" i="28"/>
  <c r="F836" i="28"/>
  <c r="F835" i="28"/>
  <c r="F834" i="28"/>
  <c r="F833" i="28"/>
  <c r="F832" i="28"/>
  <c r="F831" i="28"/>
  <c r="F830" i="28"/>
  <c r="F829" i="28"/>
  <c r="F828" i="28"/>
  <c r="F827" i="28"/>
  <c r="F826" i="28"/>
  <c r="F825" i="28"/>
  <c r="F824" i="28"/>
  <c r="F823" i="28"/>
  <c r="F822" i="28"/>
  <c r="F821" i="28"/>
  <c r="F820" i="28"/>
  <c r="F819" i="28"/>
  <c r="F818" i="28"/>
  <c r="F817" i="28"/>
  <c r="F816" i="28"/>
  <c r="F815" i="28"/>
  <c r="F814" i="28"/>
  <c r="F813" i="28"/>
  <c r="F812" i="28"/>
  <c r="F811" i="28"/>
  <c r="F809" i="28"/>
  <c r="F808" i="28"/>
  <c r="F807" i="28"/>
  <c r="F806" i="28"/>
  <c r="F805" i="28"/>
  <c r="F804" i="28"/>
  <c r="F803" i="28"/>
  <c r="F802" i="28"/>
  <c r="F801" i="28"/>
  <c r="F800" i="28"/>
  <c r="F799" i="28"/>
  <c r="F798" i="28"/>
  <c r="F797" i="28"/>
  <c r="F796" i="28"/>
  <c r="F795" i="28"/>
  <c r="F794" i="28"/>
  <c r="F793" i="28"/>
  <c r="F792" i="28"/>
  <c r="F791" i="28"/>
  <c r="F790" i="28"/>
  <c r="F789" i="28"/>
  <c r="F788" i="28"/>
  <c r="F787" i="28"/>
  <c r="F786" i="28"/>
  <c r="F785" i="28"/>
  <c r="F784" i="28"/>
  <c r="F783" i="28"/>
  <c r="F782" i="28"/>
  <c r="F781" i="28"/>
  <c r="F780" i="28"/>
  <c r="F779" i="28"/>
  <c r="F778" i="28"/>
  <c r="F777" i="28"/>
  <c r="F776" i="28"/>
  <c r="F775" i="28"/>
  <c r="F774" i="28"/>
  <c r="F773" i="28"/>
  <c r="F772" i="28"/>
  <c r="F771" i="28"/>
  <c r="F770" i="28"/>
  <c r="F769" i="28"/>
  <c r="F768" i="28"/>
  <c r="F767" i="28"/>
  <c r="F766" i="28"/>
  <c r="F765" i="28"/>
  <c r="F764" i="28"/>
  <c r="F763" i="28"/>
  <c r="F762" i="28"/>
  <c r="F761" i="28"/>
  <c r="F760" i="28"/>
  <c r="F759" i="28"/>
  <c r="F758" i="28"/>
  <c r="F757" i="28"/>
  <c r="F756" i="28"/>
  <c r="F755" i="28"/>
  <c r="F754" i="28"/>
  <c r="F753" i="28"/>
  <c r="F752" i="28"/>
  <c r="F751" i="28"/>
  <c r="F750" i="28"/>
  <c r="F749" i="28"/>
  <c r="F748" i="28"/>
  <c r="F747" i="28"/>
  <c r="F746" i="28"/>
  <c r="F745" i="28"/>
  <c r="F744" i="28"/>
  <c r="F743" i="28"/>
  <c r="F742" i="28"/>
  <c r="F741" i="28"/>
  <c r="F740" i="28"/>
  <c r="F739" i="28"/>
  <c r="F738" i="28"/>
  <c r="F737" i="28"/>
  <c r="F736" i="28"/>
  <c r="F735" i="28"/>
  <c r="F734" i="28"/>
  <c r="F733" i="28"/>
  <c r="F732" i="28"/>
  <c r="F731" i="28"/>
  <c r="F730" i="28"/>
  <c r="F729" i="28"/>
  <c r="F728" i="28"/>
  <c r="F727" i="28"/>
  <c r="F726" i="28"/>
  <c r="F725" i="28"/>
  <c r="F724" i="28"/>
  <c r="F723" i="28"/>
  <c r="F722" i="28"/>
  <c r="F721" i="28"/>
  <c r="F720" i="28"/>
  <c r="F719" i="28"/>
  <c r="F718" i="28"/>
  <c r="F717" i="28"/>
  <c r="F716" i="28"/>
  <c r="F715" i="28"/>
  <c r="F714" i="28"/>
  <c r="F713" i="28"/>
  <c r="F712" i="28"/>
  <c r="F711" i="28"/>
  <c r="F710" i="28"/>
  <c r="F709" i="28"/>
  <c r="F708" i="28"/>
  <c r="F707" i="28"/>
  <c r="F706" i="28"/>
  <c r="F705" i="28"/>
  <c r="F704" i="28"/>
  <c r="F703" i="28"/>
  <c r="F702" i="28"/>
  <c r="F701" i="28"/>
  <c r="F700" i="28"/>
  <c r="F699" i="28"/>
  <c r="F698" i="28"/>
  <c r="F697" i="28"/>
  <c r="F696" i="28"/>
  <c r="F695" i="28"/>
  <c r="F694" i="28"/>
  <c r="F693" i="28"/>
  <c r="F692" i="28"/>
  <c r="F691" i="28"/>
  <c r="F690" i="28"/>
  <c r="F689" i="28"/>
  <c r="F688" i="28"/>
  <c r="F687" i="28"/>
  <c r="F686" i="28"/>
  <c r="F685" i="28"/>
  <c r="F684" i="28"/>
  <c r="F683" i="28"/>
  <c r="F682" i="28"/>
  <c r="F681" i="28"/>
  <c r="F680" i="28"/>
  <c r="F679" i="28"/>
  <c r="F678" i="28"/>
  <c r="F677" i="28"/>
  <c r="F676" i="28"/>
  <c r="F675" i="28"/>
  <c r="F674" i="28"/>
  <c r="F673" i="28"/>
  <c r="F672" i="28"/>
  <c r="F671" i="28"/>
  <c r="F670" i="28"/>
  <c r="F669" i="28"/>
  <c r="F668" i="28"/>
  <c r="F667" i="28"/>
  <c r="F666" i="28"/>
  <c r="F665" i="28"/>
  <c r="F664" i="28"/>
  <c r="F663" i="28"/>
  <c r="F662" i="28"/>
  <c r="F661" i="28"/>
  <c r="F660" i="28"/>
  <c r="F659" i="28"/>
  <c r="F658" i="28"/>
  <c r="F657" i="28"/>
  <c r="F656" i="28"/>
  <c r="F655" i="28"/>
  <c r="F654" i="28"/>
  <c r="F653" i="28"/>
  <c r="F652" i="28"/>
  <c r="F651" i="28"/>
  <c r="F650" i="28"/>
  <c r="F649" i="28"/>
  <c r="F648" i="28"/>
  <c r="F647" i="28"/>
  <c r="F646" i="28"/>
  <c r="F645" i="28"/>
  <c r="F644" i="28"/>
  <c r="F643" i="28"/>
  <c r="F642" i="28"/>
  <c r="F641" i="28"/>
  <c r="F640" i="28"/>
  <c r="F639" i="28"/>
  <c r="F638" i="28"/>
  <c r="F637" i="28"/>
  <c r="F636" i="28"/>
  <c r="F635" i="28"/>
  <c r="F634" i="28"/>
  <c r="F633" i="28"/>
  <c r="F632" i="28"/>
  <c r="F631" i="28"/>
  <c r="F630" i="28"/>
  <c r="F629" i="28"/>
  <c r="F628" i="28"/>
  <c r="F627" i="28"/>
  <c r="F626" i="28"/>
  <c r="F625" i="28"/>
  <c r="F624" i="28"/>
  <c r="F623" i="28"/>
  <c r="F622" i="28"/>
  <c r="F621" i="28"/>
  <c r="F620" i="28"/>
  <c r="F619" i="28"/>
  <c r="F618" i="28"/>
  <c r="F617" i="28"/>
  <c r="F616" i="28"/>
  <c r="F615" i="28"/>
  <c r="F614" i="28"/>
  <c r="F613" i="28"/>
  <c r="F612" i="28"/>
  <c r="F611" i="28"/>
  <c r="F610" i="28"/>
  <c r="F609" i="28"/>
  <c r="F608" i="28"/>
  <c r="F607" i="28"/>
  <c r="F606" i="28"/>
  <c r="F605" i="28"/>
  <c r="F604" i="28"/>
  <c r="F603" i="28"/>
  <c r="F602" i="28"/>
  <c r="F601" i="28"/>
  <c r="F600" i="28"/>
  <c r="F599" i="28"/>
  <c r="F598" i="28"/>
  <c r="F597" i="28"/>
  <c r="F596" i="28"/>
  <c r="F595" i="28"/>
  <c r="F594" i="28"/>
  <c r="F593" i="28"/>
  <c r="F592" i="28"/>
  <c r="F591" i="28"/>
  <c r="F590" i="28"/>
  <c r="F589" i="28"/>
  <c r="F588" i="28"/>
  <c r="F587" i="28"/>
  <c r="F586" i="28"/>
  <c r="F585" i="28"/>
  <c r="F584" i="28"/>
  <c r="F583" i="28"/>
  <c r="F582" i="28"/>
  <c r="F581" i="28"/>
  <c r="F580" i="28"/>
  <c r="F579" i="28"/>
  <c r="F578" i="28"/>
  <c r="F577" i="28"/>
  <c r="F576" i="28"/>
  <c r="F575" i="28"/>
  <c r="F574" i="28"/>
  <c r="F573" i="28"/>
  <c r="F572" i="28"/>
  <c r="F571" i="28"/>
  <c r="F570" i="28"/>
  <c r="F569" i="28"/>
  <c r="F568" i="28"/>
  <c r="F567" i="28"/>
  <c r="F566" i="28"/>
  <c r="F565" i="28"/>
  <c r="F564" i="28"/>
  <c r="F563" i="28"/>
  <c r="F562" i="28"/>
  <c r="F561" i="28"/>
  <c r="F560" i="28"/>
  <c r="F559" i="28"/>
  <c r="F558" i="28"/>
  <c r="F557" i="28"/>
  <c r="F556" i="28"/>
  <c r="F555" i="28"/>
  <c r="F554" i="28"/>
  <c r="F553" i="28"/>
  <c r="F552" i="28"/>
  <c r="F551" i="28"/>
  <c r="F550" i="28"/>
  <c r="F549" i="28"/>
  <c r="F548" i="28"/>
  <c r="F547" i="28"/>
  <c r="F546" i="28"/>
  <c r="F545" i="28"/>
  <c r="F544" i="28"/>
  <c r="F543" i="28"/>
  <c r="F542" i="28"/>
  <c r="F541" i="28"/>
  <c r="F540" i="28"/>
  <c r="F539" i="28"/>
  <c r="F538" i="28"/>
  <c r="F537" i="28"/>
  <c r="F536" i="28"/>
  <c r="F535" i="28"/>
  <c r="F534" i="28"/>
  <c r="F533" i="28"/>
  <c r="F532" i="28"/>
  <c r="F531" i="28"/>
  <c r="F530" i="28"/>
  <c r="F529" i="28"/>
  <c r="F528" i="28"/>
  <c r="F527" i="28"/>
  <c r="F526" i="28"/>
  <c r="F525" i="28"/>
  <c r="F524" i="28"/>
  <c r="F523" i="28"/>
  <c r="F522" i="28"/>
  <c r="F521" i="28"/>
  <c r="F520" i="28"/>
  <c r="F519" i="28"/>
  <c r="F518" i="28"/>
  <c r="F517" i="28"/>
  <c r="F516" i="28"/>
  <c r="F515" i="28"/>
  <c r="F514" i="28"/>
  <c r="F513" i="28"/>
  <c r="F512" i="28"/>
  <c r="F511" i="28"/>
  <c r="F510" i="28"/>
  <c r="F509" i="28"/>
  <c r="F508" i="28"/>
  <c r="F507" i="28"/>
  <c r="F506" i="28"/>
  <c r="F505" i="28"/>
  <c r="F504" i="28"/>
  <c r="F503" i="28"/>
  <c r="F502" i="28"/>
  <c r="F501" i="28"/>
  <c r="F500" i="28"/>
  <c r="F499" i="28"/>
  <c r="F498" i="28"/>
  <c r="F497" i="28"/>
  <c r="F496" i="28"/>
  <c r="F495" i="28"/>
  <c r="F494" i="28"/>
  <c r="F493" i="28"/>
  <c r="F492" i="28"/>
  <c r="F491" i="28"/>
  <c r="F490" i="28"/>
  <c r="F489" i="28"/>
  <c r="F488" i="28"/>
  <c r="F487" i="28"/>
  <c r="F486" i="28"/>
  <c r="F485" i="28"/>
  <c r="F484" i="28"/>
  <c r="F483" i="28"/>
  <c r="F482" i="28"/>
  <c r="F481" i="28"/>
  <c r="F480" i="28"/>
  <c r="F479" i="28"/>
  <c r="F478" i="28"/>
  <c r="F477" i="28"/>
  <c r="F476" i="28"/>
  <c r="F475" i="28"/>
  <c r="F474" i="28"/>
  <c r="F473" i="28"/>
  <c r="F472" i="28"/>
  <c r="F471" i="28"/>
  <c r="F470" i="28"/>
  <c r="F469" i="28"/>
  <c r="F468" i="28"/>
  <c r="F467" i="28"/>
  <c r="F466" i="28"/>
  <c r="F465" i="28"/>
  <c r="F464" i="28"/>
  <c r="F463" i="28"/>
  <c r="F462" i="28"/>
  <c r="F461" i="28"/>
  <c r="F460" i="28"/>
  <c r="F459" i="28"/>
  <c r="F458" i="28"/>
  <c r="F457" i="28"/>
  <c r="F456" i="28"/>
  <c r="F455" i="28"/>
  <c r="F454" i="28"/>
  <c r="F453" i="28"/>
  <c r="F452" i="28"/>
  <c r="F451" i="28"/>
  <c r="F450" i="28"/>
  <c r="F449" i="28"/>
  <c r="F448" i="28"/>
  <c r="F447" i="28"/>
  <c r="F446" i="28"/>
  <c r="F445" i="28"/>
  <c r="F444" i="28"/>
  <c r="F443" i="28"/>
  <c r="F442" i="28"/>
  <c r="F441" i="28"/>
  <c r="F440" i="28"/>
  <c r="F439" i="28"/>
  <c r="F438" i="28"/>
  <c r="F437" i="28"/>
  <c r="F436" i="28"/>
  <c r="F435" i="28"/>
  <c r="F434" i="28"/>
  <c r="F433" i="28"/>
  <c r="F432" i="28"/>
  <c r="F431" i="28"/>
  <c r="F430" i="28"/>
  <c r="F429" i="28"/>
  <c r="F428" i="28"/>
  <c r="F427" i="28"/>
  <c r="F426" i="28"/>
  <c r="F425" i="28"/>
  <c r="F424" i="28"/>
  <c r="F423" i="28"/>
  <c r="F422" i="28"/>
  <c r="F421" i="28"/>
  <c r="F420" i="28"/>
  <c r="F419" i="28"/>
  <c r="F418" i="28"/>
  <c r="F417" i="28"/>
  <c r="F416" i="28"/>
  <c r="F415" i="28"/>
  <c r="F414" i="28"/>
  <c r="F413" i="28"/>
  <c r="F412" i="28"/>
  <c r="F411" i="28"/>
  <c r="F410" i="28"/>
  <c r="F409" i="28"/>
  <c r="F408" i="28"/>
  <c r="F407" i="28"/>
  <c r="F406" i="28"/>
  <c r="F405" i="28"/>
  <c r="F404" i="28"/>
  <c r="F403" i="28"/>
  <c r="F402" i="28"/>
  <c r="F401" i="28"/>
  <c r="F400" i="28"/>
  <c r="F399" i="28"/>
  <c r="F398" i="28"/>
  <c r="F397" i="28"/>
  <c r="F396" i="28"/>
  <c r="F395" i="28"/>
  <c r="F394" i="28"/>
  <c r="F393" i="28"/>
  <c r="F392" i="28"/>
  <c r="F391" i="28"/>
  <c r="F390" i="28"/>
  <c r="F389" i="28"/>
  <c r="F388" i="28"/>
  <c r="F387" i="28"/>
  <c r="F386" i="28"/>
  <c r="F385" i="28"/>
  <c r="F384" i="28"/>
  <c r="F383" i="28"/>
  <c r="F382" i="28"/>
  <c r="F381" i="28"/>
  <c r="F380" i="28"/>
  <c r="F379" i="28"/>
  <c r="F378" i="28"/>
  <c r="F377" i="28"/>
  <c r="F376" i="28"/>
  <c r="F375" i="28"/>
  <c r="F374" i="28"/>
  <c r="F373" i="28"/>
  <c r="F372" i="28"/>
  <c r="F371" i="28"/>
  <c r="F370" i="28"/>
  <c r="F369" i="28"/>
  <c r="F368" i="28"/>
  <c r="F367" i="28"/>
  <c r="F366" i="28"/>
  <c r="F365" i="28"/>
  <c r="F364" i="28"/>
  <c r="F363" i="28"/>
  <c r="F362" i="28"/>
  <c r="F361" i="28"/>
  <c r="F360" i="28"/>
  <c r="F359" i="28"/>
  <c r="F358" i="28"/>
  <c r="F357" i="28"/>
  <c r="F356" i="28"/>
  <c r="F355" i="28"/>
  <c r="F354" i="28"/>
  <c r="F353" i="28"/>
  <c r="F352" i="28"/>
  <c r="F351" i="28"/>
  <c r="F350" i="28"/>
  <c r="F349" i="28"/>
  <c r="F348" i="28"/>
  <c r="F347" i="28"/>
  <c r="F346" i="28"/>
  <c r="F345" i="28"/>
  <c r="F344" i="28"/>
  <c r="F343" i="28"/>
  <c r="F342" i="28"/>
  <c r="F341" i="28"/>
  <c r="F340" i="28"/>
  <c r="F339" i="28"/>
  <c r="F338" i="28"/>
  <c r="F337" i="28"/>
  <c r="F336" i="28"/>
  <c r="F335" i="28"/>
  <c r="F334" i="28"/>
  <c r="F333" i="28"/>
  <c r="F332" i="28"/>
  <c r="F331" i="28"/>
  <c r="F330" i="28"/>
  <c r="F329" i="28"/>
  <c r="F328" i="28"/>
  <c r="F327" i="28"/>
  <c r="F326" i="28"/>
  <c r="F325" i="28"/>
  <c r="F324" i="28"/>
  <c r="F323" i="28"/>
  <c r="F322" i="28"/>
  <c r="F321" i="28"/>
  <c r="F320" i="28"/>
  <c r="F319" i="28"/>
  <c r="F318" i="28"/>
  <c r="F317" i="28"/>
  <c r="F316" i="28"/>
  <c r="F315" i="28"/>
  <c r="F314" i="28"/>
  <c r="F313" i="28"/>
  <c r="F312" i="28"/>
  <c r="F311" i="28"/>
  <c r="F310" i="28"/>
  <c r="F309" i="28"/>
  <c r="F308" i="28"/>
  <c r="F307" i="28"/>
  <c r="F306" i="28"/>
  <c r="F305" i="28"/>
  <c r="F304" i="28"/>
  <c r="F303" i="28"/>
  <c r="F302" i="28"/>
  <c r="F301" i="28"/>
  <c r="F300" i="28"/>
  <c r="F299" i="28"/>
  <c r="F298" i="28"/>
  <c r="F297" i="28"/>
  <c r="F296" i="28"/>
  <c r="F295" i="28"/>
  <c r="F294" i="28"/>
  <c r="F293" i="28"/>
  <c r="F292" i="28"/>
  <c r="F291" i="28"/>
  <c r="F290" i="28"/>
  <c r="F289" i="28"/>
  <c r="F288" i="28"/>
  <c r="F287" i="28"/>
  <c r="F286" i="28"/>
  <c r="F285" i="28"/>
  <c r="F284" i="28"/>
  <c r="F283" i="28"/>
  <c r="F282" i="28"/>
  <c r="F281" i="28"/>
  <c r="F280" i="28"/>
  <c r="F279" i="28"/>
  <c r="F278" i="28"/>
  <c r="F277" i="28"/>
  <c r="F276" i="28"/>
  <c r="F275" i="28"/>
  <c r="F274" i="28"/>
  <c r="F273" i="28"/>
  <c r="F272" i="28"/>
  <c r="F271" i="28"/>
  <c r="F270" i="28"/>
  <c r="F269" i="28"/>
  <c r="F268" i="28"/>
  <c r="F267" i="28"/>
  <c r="F266" i="28"/>
  <c r="F265" i="28"/>
  <c r="F264" i="28"/>
  <c r="F263" i="28"/>
  <c r="F262" i="28"/>
  <c r="F261" i="28"/>
  <c r="F260" i="28"/>
  <c r="F259" i="28"/>
  <c r="F258" i="28"/>
  <c r="F257" i="28"/>
  <c r="F256" i="28"/>
  <c r="F255" i="28"/>
  <c r="F254" i="28"/>
  <c r="F253" i="28"/>
  <c r="F252" i="28"/>
  <c r="F251" i="28"/>
  <c r="F250" i="28"/>
  <c r="F249" i="28"/>
  <c r="F248" i="28"/>
  <c r="F247" i="28"/>
  <c r="F246" i="28"/>
  <c r="F245" i="28"/>
  <c r="F244" i="28"/>
  <c r="F243" i="28"/>
  <c r="F242" i="28"/>
  <c r="F241" i="28"/>
  <c r="F240" i="28"/>
  <c r="F239" i="28"/>
  <c r="F238" i="28"/>
  <c r="F237" i="28"/>
  <c r="F236" i="28"/>
  <c r="F235" i="28"/>
  <c r="F234" i="28"/>
  <c r="F233" i="28"/>
  <c r="F232" i="28"/>
  <c r="F231" i="28"/>
  <c r="F230" i="28"/>
  <c r="F229" i="28"/>
  <c r="F228" i="28"/>
  <c r="F227" i="28"/>
  <c r="F226" i="28"/>
  <c r="F225" i="28"/>
  <c r="F224" i="28"/>
  <c r="F223" i="28"/>
  <c r="F222" i="28"/>
  <c r="F221" i="28"/>
  <c r="F220" i="28"/>
  <c r="F219" i="28"/>
  <c r="F218" i="28"/>
  <c r="F217" i="28"/>
  <c r="F216" i="28"/>
  <c r="F215" i="28"/>
  <c r="F214" i="28"/>
  <c r="F213" i="28"/>
  <c r="F212" i="28"/>
  <c r="F211" i="28"/>
  <c r="F210" i="28"/>
  <c r="F209" i="28"/>
  <c r="F208" i="28"/>
  <c r="F207" i="28"/>
  <c r="F206" i="28"/>
  <c r="F205" i="28"/>
  <c r="F204" i="28"/>
  <c r="F203" i="28"/>
  <c r="F202" i="28"/>
  <c r="F201" i="28"/>
  <c r="F200" i="28"/>
  <c r="F199" i="28"/>
  <c r="F198" i="28"/>
  <c r="F197" i="28"/>
  <c r="F196" i="28"/>
  <c r="F195" i="28"/>
  <c r="F194" i="28"/>
  <c r="F193" i="28"/>
  <c r="F192" i="28"/>
  <c r="F191" i="28"/>
  <c r="F190" i="28"/>
  <c r="F189" i="28"/>
  <c r="F188" i="28"/>
  <c r="F187" i="28"/>
  <c r="F186" i="28"/>
  <c r="F185" i="28"/>
  <c r="F184" i="28"/>
  <c r="F183" i="28"/>
  <c r="F182" i="28"/>
  <c r="F181" i="28"/>
  <c r="F180" i="28"/>
  <c r="F179" i="28"/>
  <c r="F178" i="28"/>
  <c r="F177" i="28"/>
  <c r="F176" i="28"/>
  <c r="F175" i="28"/>
  <c r="F174" i="28"/>
  <c r="F173" i="28"/>
  <c r="F172" i="28"/>
  <c r="F171" i="28"/>
  <c r="F170" i="28"/>
  <c r="F169" i="28"/>
  <c r="F168" i="28"/>
  <c r="F167" i="28"/>
  <c r="F166" i="28"/>
  <c r="F165" i="28"/>
  <c r="F164" i="28"/>
  <c r="F163" i="28"/>
  <c r="F162" i="28"/>
  <c r="F161" i="28"/>
  <c r="F160" i="28"/>
  <c r="F159" i="28"/>
  <c r="F158" i="28"/>
  <c r="F157" i="28"/>
  <c r="F156" i="28"/>
  <c r="F155" i="28"/>
  <c r="F154" i="28"/>
  <c r="F153" i="28"/>
  <c r="F152" i="28"/>
  <c r="F151" i="28"/>
  <c r="F150" i="28"/>
  <c r="F149" i="28"/>
  <c r="F148" i="28"/>
  <c r="F147" i="28"/>
  <c r="F146" i="28"/>
  <c r="F145" i="28"/>
  <c r="F144" i="28"/>
  <c r="F143" i="28"/>
  <c r="F142" i="28"/>
  <c r="F141" i="28"/>
  <c r="F140" i="28"/>
  <c r="F139" i="28"/>
  <c r="F138" i="28"/>
  <c r="F137" i="28"/>
  <c r="F136" i="28"/>
  <c r="F135" i="28"/>
  <c r="F134" i="28"/>
  <c r="F133" i="28"/>
  <c r="F132" i="28"/>
  <c r="F131" i="28"/>
  <c r="F130" i="28"/>
  <c r="F129" i="28"/>
  <c r="F128" i="28"/>
  <c r="F127" i="28"/>
  <c r="F126" i="28"/>
  <c r="F125" i="28"/>
  <c r="F124" i="28"/>
  <c r="F123" i="28"/>
  <c r="F122" i="28"/>
  <c r="F121" i="28"/>
  <c r="F120" i="28"/>
  <c r="F119" i="28"/>
  <c r="F118" i="28"/>
  <c r="F117" i="28"/>
  <c r="F116" i="28"/>
  <c r="F115" i="28"/>
  <c r="F114" i="28"/>
  <c r="F113" i="28"/>
  <c r="F112" i="28"/>
  <c r="F111" i="28"/>
  <c r="F110" i="28"/>
  <c r="F109" i="28"/>
  <c r="F108" i="28"/>
  <c r="F107" i="28"/>
  <c r="F106" i="28"/>
  <c r="F105" i="28"/>
  <c r="F104" i="28"/>
  <c r="F103" i="28"/>
  <c r="F102" i="28"/>
  <c r="F101" i="28"/>
  <c r="F100" i="28"/>
  <c r="F99" i="28"/>
  <c r="F98" i="28"/>
  <c r="F97" i="28"/>
  <c r="F96" i="28"/>
  <c r="F95" i="28"/>
  <c r="F94" i="28"/>
  <c r="F93" i="28"/>
  <c r="F92" i="28"/>
  <c r="F91" i="28"/>
  <c r="F90" i="28"/>
  <c r="F89" i="28"/>
  <c r="F88" i="28"/>
  <c r="F87" i="28"/>
  <c r="F86" i="28"/>
  <c r="F85" i="28"/>
  <c r="F84" i="28"/>
  <c r="F83" i="28"/>
  <c r="F82" i="28"/>
  <c r="F81" i="28"/>
  <c r="F80" i="28"/>
  <c r="F79" i="28"/>
  <c r="F78" i="28"/>
  <c r="F77" i="28"/>
  <c r="F76" i="28"/>
  <c r="F75" i="28"/>
  <c r="F74" i="28"/>
  <c r="F73" i="28"/>
  <c r="F72" i="28"/>
  <c r="F71" i="28"/>
  <c r="F70" i="28"/>
  <c r="F69" i="28"/>
  <c r="F68" i="28"/>
  <c r="F67" i="28"/>
  <c r="F66" i="28"/>
  <c r="F65" i="28"/>
  <c r="F64" i="28"/>
  <c r="F63" i="28"/>
  <c r="F62" i="28"/>
  <c r="F61" i="28"/>
  <c r="F60" i="28"/>
  <c r="F59" i="28"/>
  <c r="F58" i="28"/>
  <c r="F57" i="28"/>
  <c r="F56" i="28"/>
  <c r="F55" i="28"/>
  <c r="F54" i="28"/>
  <c r="F53" i="28"/>
  <c r="F52" i="28"/>
  <c r="F51" i="28"/>
  <c r="F50" i="28"/>
  <c r="F49" i="28"/>
  <c r="F48" i="28"/>
  <c r="F47" i="28"/>
  <c r="F46" i="28"/>
  <c r="F45" i="28"/>
  <c r="F44" i="28"/>
  <c r="F43" i="28"/>
  <c r="F42" i="28"/>
  <c r="F41" i="28"/>
  <c r="F40" i="28"/>
  <c r="F39" i="28"/>
  <c r="F38" i="28"/>
  <c r="F37" i="28"/>
  <c r="F36" i="28"/>
  <c r="F35" i="28"/>
  <c r="F34" i="28"/>
  <c r="F33" i="28"/>
  <c r="F32" i="28"/>
  <c r="F31" i="28"/>
  <c r="F30" i="28"/>
  <c r="F29" i="28"/>
  <c r="F28" i="28"/>
  <c r="F27" i="28"/>
  <c r="F26" i="28"/>
  <c r="F25" i="28"/>
  <c r="F24" i="28"/>
  <c r="F23" i="28"/>
  <c r="F22" i="28"/>
  <c r="F21" i="28"/>
  <c r="F20" i="28"/>
  <c r="F19" i="28"/>
  <c r="F18" i="28"/>
  <c r="F17" i="28"/>
  <c r="F16" i="28"/>
  <c r="F15" i="28"/>
  <c r="F14" i="28"/>
  <c r="F13" i="28"/>
  <c r="F12" i="28"/>
  <c r="F11" i="28"/>
  <c r="F10" i="28"/>
  <c r="F9" i="28"/>
  <c r="F8" i="28"/>
  <c r="F7" i="28"/>
  <c r="F6" i="28"/>
  <c r="F5" i="28"/>
  <c r="F4" i="28"/>
  <c r="F3" i="28"/>
  <c r="F2" i="28"/>
  <c r="A912" i="28"/>
  <c r="A911" i="28"/>
  <c r="A910" i="28"/>
  <c r="A909" i="28"/>
  <c r="J1830" i="28"/>
  <c r="J1829" i="28"/>
  <c r="J1828" i="28"/>
  <c r="J1827" i="28"/>
  <c r="J1800" i="28"/>
  <c r="J1799" i="28"/>
  <c r="J1798" i="28"/>
  <c r="J1796" i="28"/>
  <c r="J1795" i="28"/>
  <c r="J1793" i="28"/>
  <c r="J1792" i="28"/>
  <c r="J1790" i="28"/>
  <c r="J1789" i="28"/>
  <c r="J1782" i="28"/>
  <c r="J1781" i="28"/>
  <c r="J1780" i="28"/>
  <c r="J1779" i="28"/>
  <c r="J1764" i="28"/>
  <c r="J1763" i="28"/>
  <c r="J1762" i="28"/>
  <c r="J1761" i="28"/>
  <c r="J1760" i="28"/>
  <c r="J1759" i="28"/>
  <c r="J1758" i="28"/>
  <c r="J1757" i="28"/>
  <c r="J1724" i="28"/>
  <c r="J1723" i="28"/>
  <c r="J1722" i="28"/>
  <c r="J1721" i="28"/>
  <c r="J1720" i="28"/>
  <c r="J1719" i="28"/>
  <c r="J1718" i="28"/>
  <c r="J1717" i="28"/>
  <c r="H213" i="25"/>
  <c r="H212" i="25"/>
  <c r="J1706" i="28"/>
  <c r="J1705" i="28"/>
  <c r="J1704" i="28"/>
  <c r="J1703" i="28"/>
  <c r="J1702" i="28"/>
  <c r="J1701" i="28"/>
  <c r="J1700" i="28"/>
  <c r="J1699" i="28"/>
  <c r="H211" i="25"/>
  <c r="H210" i="25"/>
  <c r="J1692" i="28"/>
  <c r="J1691" i="28"/>
  <c r="J1690" i="28"/>
  <c r="J1689" i="28"/>
  <c r="J1688" i="28"/>
  <c r="J1687" i="28"/>
  <c r="J1178" i="28" l="1"/>
  <c r="J1177" i="28"/>
  <c r="J1176" i="28"/>
  <c r="J1175" i="28"/>
  <c r="J1174" i="28"/>
  <c r="J1173" i="28"/>
  <c r="J1136" i="28"/>
  <c r="J1135" i="28"/>
  <c r="J1134" i="28"/>
  <c r="J1132" i="28"/>
  <c r="J1131" i="28"/>
  <c r="J1130" i="28"/>
  <c r="J1129" i="28"/>
  <c r="J1128" i="28" l="1"/>
  <c r="J1127" i="28"/>
  <c r="J1079" i="28"/>
  <c r="J1078" i="28"/>
  <c r="J1077" i="28"/>
  <c r="J1076" i="28"/>
  <c r="J1075" i="28"/>
  <c r="J1074" i="28"/>
  <c r="J1073" i="28"/>
  <c r="J1072" i="28"/>
  <c r="J1071" i="28"/>
  <c r="J1070" i="28"/>
  <c r="J1069" i="28"/>
  <c r="J1068" i="28"/>
  <c r="J1067" i="28"/>
  <c r="J1066" i="28"/>
  <c r="J1065" i="28"/>
  <c r="J1064" i="28"/>
  <c r="J1063" i="28"/>
  <c r="J1062" i="28"/>
  <c r="J1032" i="28" l="1"/>
  <c r="J1031" i="28"/>
  <c r="J1030" i="28"/>
  <c r="J1029" i="28"/>
  <c r="J1028" i="28"/>
  <c r="J1027" i="28"/>
  <c r="J1026" i="28"/>
  <c r="J1025" i="28"/>
  <c r="J1024" i="28"/>
  <c r="J1011" i="28"/>
  <c r="J1010" i="28"/>
  <c r="J1009" i="28"/>
  <c r="J1008" i="28"/>
  <c r="J1007" i="28"/>
  <c r="J1006" i="28"/>
  <c r="J1005" i="28"/>
  <c r="J1004" i="28"/>
  <c r="J1003" i="28"/>
  <c r="J1002" i="28"/>
  <c r="J1001" i="28"/>
  <c r="J1000" i="28"/>
  <c r="J948" i="28"/>
  <c r="J947" i="28"/>
  <c r="J946" i="28"/>
  <c r="J945" i="28"/>
  <c r="J944" i="28"/>
  <c r="J943" i="28"/>
  <c r="J939" i="28"/>
  <c r="J938" i="28"/>
  <c r="J937" i="28"/>
  <c r="J936" i="28"/>
  <c r="J935" i="28"/>
  <c r="J934" i="28"/>
  <c r="J875" i="28"/>
  <c r="J874" i="28"/>
  <c r="J873" i="28"/>
  <c r="J872" i="28"/>
  <c r="A875" i="28"/>
  <c r="A874" i="28"/>
  <c r="A873" i="28"/>
  <c r="A872" i="28"/>
  <c r="A871" i="28"/>
  <c r="A870" i="28"/>
  <c r="A869" i="28"/>
  <c r="A868" i="28"/>
  <c r="A867" i="28"/>
  <c r="A866" i="28"/>
  <c r="A865" i="28"/>
  <c r="A864" i="28"/>
  <c r="A863" i="28"/>
  <c r="A862" i="28"/>
  <c r="A861" i="28"/>
  <c r="A860" i="28"/>
  <c r="A774" i="28"/>
  <c r="A775" i="28"/>
  <c r="A776" i="28"/>
  <c r="A778" i="28"/>
  <c r="A779" i="28"/>
  <c r="A777" i="28"/>
  <c r="A773" i="28"/>
  <c r="A772" i="28"/>
  <c r="A771" i="28"/>
  <c r="A770" i="28"/>
  <c r="A769" i="28"/>
  <c r="A768" i="28"/>
  <c r="A767" i="28"/>
  <c r="A766" i="28"/>
  <c r="A765" i="28"/>
  <c r="A764" i="28"/>
  <c r="A763" i="28"/>
  <c r="A762" i="28"/>
  <c r="A829" i="28"/>
  <c r="A828" i="28"/>
  <c r="A453" i="28" l="1"/>
  <c r="A4010" i="28"/>
  <c r="A4009" i="28"/>
  <c r="A4008" i="28"/>
  <c r="A4007" i="28"/>
  <c r="A4006" i="28"/>
  <c r="A4005" i="28"/>
  <c r="A4004" i="28"/>
  <c r="A4003" i="28"/>
  <c r="A4002" i="28"/>
  <c r="A4001" i="28"/>
  <c r="A4000" i="28"/>
  <c r="A3999" i="28"/>
  <c r="A3998" i="28"/>
  <c r="A3997" i="28"/>
  <c r="A3996" i="28"/>
  <c r="A3995" i="28"/>
  <c r="A3994" i="28"/>
  <c r="A3993" i="28"/>
  <c r="A3992" i="28"/>
  <c r="A3991" i="28"/>
  <c r="A3990" i="28"/>
  <c r="A3989" i="28"/>
  <c r="A3988" i="28"/>
  <c r="A3987" i="28"/>
  <c r="A3986" i="28"/>
  <c r="A3985" i="28"/>
  <c r="A3984" i="28"/>
  <c r="A3983" i="28"/>
  <c r="A3982" i="28"/>
  <c r="A3981" i="28"/>
  <c r="A3980" i="28"/>
  <c r="A3979" i="28"/>
  <c r="A3978" i="28"/>
  <c r="A3977" i="28"/>
  <c r="A3976" i="28"/>
  <c r="A3975" i="28"/>
  <c r="A3974" i="28"/>
  <c r="A3973" i="28"/>
  <c r="A3972" i="28"/>
  <c r="A3971" i="28"/>
  <c r="A3970" i="28"/>
  <c r="A3969" i="28"/>
  <c r="A3968" i="28"/>
  <c r="A3967" i="28"/>
  <c r="A3966" i="28"/>
  <c r="A3965" i="28"/>
  <c r="A3964" i="28"/>
  <c r="A3963" i="28"/>
  <c r="A3962" i="28"/>
  <c r="A3961" i="28"/>
  <c r="A3960" i="28"/>
  <c r="A3959" i="28"/>
  <c r="A3958" i="28"/>
  <c r="A3957" i="28"/>
  <c r="A3956" i="28"/>
  <c r="A3955" i="28"/>
  <c r="A3954" i="28"/>
  <c r="A3953" i="28"/>
  <c r="A3952" i="28"/>
  <c r="A3951" i="28"/>
  <c r="A3950" i="28"/>
  <c r="A3949" i="28"/>
  <c r="A3948" i="28"/>
  <c r="A3947" i="28"/>
  <c r="A3946" i="28"/>
  <c r="A3945" i="28"/>
  <c r="A3944" i="28"/>
  <c r="A3943" i="28"/>
  <c r="A3942" i="28"/>
  <c r="A3941" i="28"/>
  <c r="A3940" i="28"/>
  <c r="A3939" i="28"/>
  <c r="A3938" i="28"/>
  <c r="A3937" i="28"/>
  <c r="A3936" i="28"/>
  <c r="A3935" i="28"/>
  <c r="A3934" i="28"/>
  <c r="A3933" i="28"/>
  <c r="A3932" i="28"/>
  <c r="A3931" i="28"/>
  <c r="A3930" i="28"/>
  <c r="A3929" i="28"/>
  <c r="A3928" i="28"/>
  <c r="A3927" i="28"/>
  <c r="A3926" i="28"/>
  <c r="A3925" i="28"/>
  <c r="A3924" i="28"/>
  <c r="A3923" i="28"/>
  <c r="A3922" i="28"/>
  <c r="A3921" i="28"/>
  <c r="A3920" i="28"/>
  <c r="A3919" i="28"/>
  <c r="A3918" i="28"/>
  <c r="A3917" i="28"/>
  <c r="A3916" i="28"/>
  <c r="A3915" i="28"/>
  <c r="A3914" i="28"/>
  <c r="A3913" i="28"/>
  <c r="A3912" i="28"/>
  <c r="A3911" i="28"/>
  <c r="A3910" i="28"/>
  <c r="A3909" i="28"/>
  <c r="A3908" i="28"/>
  <c r="A3907" i="28"/>
  <c r="A3906" i="28"/>
  <c r="A3905" i="28"/>
  <c r="A3904" i="28"/>
  <c r="A3903" i="28"/>
  <c r="A3902" i="28"/>
  <c r="A3901" i="28"/>
  <c r="A3900" i="28"/>
  <c r="A3899" i="28"/>
  <c r="A3898" i="28"/>
  <c r="A3897" i="28"/>
  <c r="A3896" i="28"/>
  <c r="A3895" i="28"/>
  <c r="A3894" i="28"/>
  <c r="A3893" i="28"/>
  <c r="A3892" i="28"/>
  <c r="A3891" i="28"/>
  <c r="A3890" i="28"/>
  <c r="A3889" i="28"/>
  <c r="A3888" i="28"/>
  <c r="A3887" i="28"/>
  <c r="A3886" i="28"/>
  <c r="A3885" i="28"/>
  <c r="A3884" i="28"/>
  <c r="A3883" i="28"/>
  <c r="A3882" i="28"/>
  <c r="A3881" i="28"/>
  <c r="A3880" i="28"/>
  <c r="A3879" i="28"/>
  <c r="A3878" i="28"/>
  <c r="A3877" i="28"/>
  <c r="A3876" i="28"/>
  <c r="A3875" i="28"/>
  <c r="A3874" i="28"/>
  <c r="A3873" i="28"/>
  <c r="A3872" i="28"/>
  <c r="A3871" i="28"/>
  <c r="A3870" i="28"/>
  <c r="A3869" i="28"/>
  <c r="A3868" i="28"/>
  <c r="A3867" i="28"/>
  <c r="A3866" i="28"/>
  <c r="A3865" i="28"/>
  <c r="A3864" i="28"/>
  <c r="A3863" i="28"/>
  <c r="A3862" i="28"/>
  <c r="A3861" i="28"/>
  <c r="A3860" i="28"/>
  <c r="A3859" i="28"/>
  <c r="A3858" i="28"/>
  <c r="A3857" i="28"/>
  <c r="A3856" i="28"/>
  <c r="A3855" i="28"/>
  <c r="A3854" i="28"/>
  <c r="A3853" i="28"/>
  <c r="A3852" i="28"/>
  <c r="A3851" i="28"/>
  <c r="A3850" i="28"/>
  <c r="A3849" i="28"/>
  <c r="A3848" i="28"/>
  <c r="A3847" i="28"/>
  <c r="A3846" i="28"/>
  <c r="A3845" i="28"/>
  <c r="A3844" i="28"/>
  <c r="A3843" i="28"/>
  <c r="A3842" i="28"/>
  <c r="A3841" i="28"/>
  <c r="A3840" i="28"/>
  <c r="A3839" i="28"/>
  <c r="A3838" i="28"/>
  <c r="A3837" i="28"/>
  <c r="A3836" i="28"/>
  <c r="A3835" i="28"/>
  <c r="A3834" i="28"/>
  <c r="A3833" i="28"/>
  <c r="A3832" i="28"/>
  <c r="A3831" i="28"/>
  <c r="A3830" i="28"/>
  <c r="A3829" i="28"/>
  <c r="A3828" i="28"/>
  <c r="A3827" i="28"/>
  <c r="A3826" i="28"/>
  <c r="A3825" i="28"/>
  <c r="A3824" i="28"/>
  <c r="A3823" i="28"/>
  <c r="A3822" i="28"/>
  <c r="A3821" i="28"/>
  <c r="A3820" i="28"/>
  <c r="A3819" i="28"/>
  <c r="A3818" i="28"/>
  <c r="A3817" i="28"/>
  <c r="A3816" i="28"/>
  <c r="A3815" i="28"/>
  <c r="A3814" i="28"/>
  <c r="A3813" i="28"/>
  <c r="A3812" i="28"/>
  <c r="A3811" i="28"/>
  <c r="A3810" i="28"/>
  <c r="A3809" i="28"/>
  <c r="A3808" i="28"/>
  <c r="A3807" i="28"/>
  <c r="A3806" i="28"/>
  <c r="A3805" i="28"/>
  <c r="A3804" i="28"/>
  <c r="A3803" i="28"/>
  <c r="A3802" i="28"/>
  <c r="A3801" i="28"/>
  <c r="A3800" i="28"/>
  <c r="A3799" i="28"/>
  <c r="A3798" i="28"/>
  <c r="A3797" i="28"/>
  <c r="A3796" i="28"/>
  <c r="A3795" i="28"/>
  <c r="A3794" i="28"/>
  <c r="A3793" i="28"/>
  <c r="A3792" i="28"/>
  <c r="A3791" i="28"/>
  <c r="A3790" i="28"/>
  <c r="A3789" i="28"/>
  <c r="A3788" i="28"/>
  <c r="A3787" i="28"/>
  <c r="A3786" i="28"/>
  <c r="A3785" i="28"/>
  <c r="A3784" i="28"/>
  <c r="A3783" i="28"/>
  <c r="A3782" i="28"/>
  <c r="A3781" i="28"/>
  <c r="A3780" i="28"/>
  <c r="A3779" i="28"/>
  <c r="A3778" i="28"/>
  <c r="A3777" i="28"/>
  <c r="A3776" i="28"/>
  <c r="A3775" i="28"/>
  <c r="A3774" i="28"/>
  <c r="A3773" i="28"/>
  <c r="A3772" i="28"/>
  <c r="A3771" i="28"/>
  <c r="A3770" i="28"/>
  <c r="A3769" i="28"/>
  <c r="A3768" i="28"/>
  <c r="A3767" i="28"/>
  <c r="A3766" i="28"/>
  <c r="A3765" i="28"/>
  <c r="A3764" i="28"/>
  <c r="A3763" i="28"/>
  <c r="A3762" i="28"/>
  <c r="A3761" i="28"/>
  <c r="A3760" i="28"/>
  <c r="A3759" i="28"/>
  <c r="A3758" i="28"/>
  <c r="A3757" i="28"/>
  <c r="A3756" i="28"/>
  <c r="A3755" i="28"/>
  <c r="A3754" i="28"/>
  <c r="A3753" i="28"/>
  <c r="A3752" i="28"/>
  <c r="A3751" i="28"/>
  <c r="A3750" i="28"/>
  <c r="A3749" i="28"/>
  <c r="A3748" i="28"/>
  <c r="A3747" i="28"/>
  <c r="A3746" i="28"/>
  <c r="A3745" i="28"/>
  <c r="A3744" i="28"/>
  <c r="A3743" i="28"/>
  <c r="A3742" i="28"/>
  <c r="A3741" i="28"/>
  <c r="A3740" i="28"/>
  <c r="A3739" i="28"/>
  <c r="A3738" i="28"/>
  <c r="A3737" i="28"/>
  <c r="A3736" i="28"/>
  <c r="A3735" i="28"/>
  <c r="A3734" i="28"/>
  <c r="A3733" i="28"/>
  <c r="A3732" i="28"/>
  <c r="A3731" i="28"/>
  <c r="A3730" i="28"/>
  <c r="A3729" i="28"/>
  <c r="A3728" i="28"/>
  <c r="A3727" i="28"/>
  <c r="A3726" i="28"/>
  <c r="A3725" i="28"/>
  <c r="A3724" i="28"/>
  <c r="A3723" i="28"/>
  <c r="A3722" i="28"/>
  <c r="A3721" i="28"/>
  <c r="A3720" i="28"/>
  <c r="A3719" i="28"/>
  <c r="A3718" i="28"/>
  <c r="A3717" i="28"/>
  <c r="A3716" i="28"/>
  <c r="A3715" i="28"/>
  <c r="A3714" i="28"/>
  <c r="A3713" i="28"/>
  <c r="A3712" i="28"/>
  <c r="A3711" i="28"/>
  <c r="A3710" i="28"/>
  <c r="A3709" i="28"/>
  <c r="A3708" i="28"/>
  <c r="A3707" i="28"/>
  <c r="A3706" i="28"/>
  <c r="A3705" i="28"/>
  <c r="A3704" i="28"/>
  <c r="A3703" i="28"/>
  <c r="A3702" i="28"/>
  <c r="A3701" i="28"/>
  <c r="A3700" i="28"/>
  <c r="A3699" i="28"/>
  <c r="A3698" i="28"/>
  <c r="A3697" i="28"/>
  <c r="A3696" i="28"/>
  <c r="A3695" i="28"/>
  <c r="A3694" i="28"/>
  <c r="A3693" i="28"/>
  <c r="A3692" i="28"/>
  <c r="A3691" i="28"/>
  <c r="A3690" i="28"/>
  <c r="A3689" i="28"/>
  <c r="A3688" i="28"/>
  <c r="A3687" i="28"/>
  <c r="A3686" i="28"/>
  <c r="A3685" i="28"/>
  <c r="A3684" i="28"/>
  <c r="A3683" i="28"/>
  <c r="A3682" i="28"/>
  <c r="A3681" i="28"/>
  <c r="A3680" i="28"/>
  <c r="A3679" i="28"/>
  <c r="A3678" i="28"/>
  <c r="A3677" i="28"/>
  <c r="A3676" i="28"/>
  <c r="A3675" i="28"/>
  <c r="A3674" i="28"/>
  <c r="A3673" i="28"/>
  <c r="A3672" i="28"/>
  <c r="A3671" i="28"/>
  <c r="A3670" i="28"/>
  <c r="A3669" i="28"/>
  <c r="A3668" i="28"/>
  <c r="A3667" i="28"/>
  <c r="A3666" i="28"/>
  <c r="A3665" i="28"/>
  <c r="A3664" i="28"/>
  <c r="A3663" i="28"/>
  <c r="A3662" i="28"/>
  <c r="A3661" i="28"/>
  <c r="A3660" i="28"/>
  <c r="A3659" i="28"/>
  <c r="A3658" i="28"/>
  <c r="A3657" i="28"/>
  <c r="A3656" i="28"/>
  <c r="A3655" i="28"/>
  <c r="A3654" i="28"/>
  <c r="A3653" i="28"/>
  <c r="A3652" i="28"/>
  <c r="A3651" i="28"/>
  <c r="A3650" i="28"/>
  <c r="A3649" i="28"/>
  <c r="A3648" i="28"/>
  <c r="A3647" i="28"/>
  <c r="A3646" i="28"/>
  <c r="A3645" i="28"/>
  <c r="A3644" i="28"/>
  <c r="A3643" i="28"/>
  <c r="A3642" i="28"/>
  <c r="A3641" i="28"/>
  <c r="A3640" i="28"/>
  <c r="A3639" i="28"/>
  <c r="A3638" i="28"/>
  <c r="A3637" i="28"/>
  <c r="A3636" i="28"/>
  <c r="A3635" i="28"/>
  <c r="A3634" i="28"/>
  <c r="A3633" i="28"/>
  <c r="A3632" i="28"/>
  <c r="A3631" i="28"/>
  <c r="A3630" i="28"/>
  <c r="A3629" i="28"/>
  <c r="A3628" i="28"/>
  <c r="A3627" i="28"/>
  <c r="A3626" i="28"/>
  <c r="A3625" i="28"/>
  <c r="A3624" i="28"/>
  <c r="A3623" i="28"/>
  <c r="A3622" i="28"/>
  <c r="A3621" i="28"/>
  <c r="A3620" i="28"/>
  <c r="A3619" i="28"/>
  <c r="A3618" i="28"/>
  <c r="A3617" i="28"/>
  <c r="A3616" i="28"/>
  <c r="A3615" i="28"/>
  <c r="A3614" i="28"/>
  <c r="A3613" i="28"/>
  <c r="A3612" i="28"/>
  <c r="A3611" i="28"/>
  <c r="A3610" i="28"/>
  <c r="A3609" i="28"/>
  <c r="A3608" i="28"/>
  <c r="A3607" i="28"/>
  <c r="A3606" i="28"/>
  <c r="A3605" i="28"/>
  <c r="A3604" i="28"/>
  <c r="A3603" i="28"/>
  <c r="A3602" i="28"/>
  <c r="A3601" i="28"/>
  <c r="A3600" i="28"/>
  <c r="A3599" i="28"/>
  <c r="A3598" i="28"/>
  <c r="A3597" i="28"/>
  <c r="A3596" i="28"/>
  <c r="A3595" i="28"/>
  <c r="A3594" i="28"/>
  <c r="A3593" i="28"/>
  <c r="A3592" i="28"/>
  <c r="A3591" i="28"/>
  <c r="A3590" i="28"/>
  <c r="A3589" i="28"/>
  <c r="A3588" i="28"/>
  <c r="A3587" i="28"/>
  <c r="A3586" i="28"/>
  <c r="A3585" i="28"/>
  <c r="A3584" i="28"/>
  <c r="A3583" i="28"/>
  <c r="A3582" i="28"/>
  <c r="A3581" i="28"/>
  <c r="A3580" i="28"/>
  <c r="A3579" i="28"/>
  <c r="A3578" i="28"/>
  <c r="A3577" i="28"/>
  <c r="A3576" i="28"/>
  <c r="A3575" i="28"/>
  <c r="A3574" i="28"/>
  <c r="A3573" i="28"/>
  <c r="A3572" i="28"/>
  <c r="A3571" i="28"/>
  <c r="A3570" i="28"/>
  <c r="A3569" i="28"/>
  <c r="A3568" i="28"/>
  <c r="A3567" i="28"/>
  <c r="A3566" i="28"/>
  <c r="A3565" i="28"/>
  <c r="A3564" i="28"/>
  <c r="A3563" i="28"/>
  <c r="A3562" i="28"/>
  <c r="A3561" i="28"/>
  <c r="A3560" i="28"/>
  <c r="A3559" i="28"/>
  <c r="A3558" i="28"/>
  <c r="A3557" i="28"/>
  <c r="A3556" i="28"/>
  <c r="A3555" i="28"/>
  <c r="A3554" i="28"/>
  <c r="A3553" i="28"/>
  <c r="A3552" i="28"/>
  <c r="A3551" i="28"/>
  <c r="A3550" i="28"/>
  <c r="A3549" i="28"/>
  <c r="A3548" i="28"/>
  <c r="A3547" i="28"/>
  <c r="A3546" i="28"/>
  <c r="A3545" i="28"/>
  <c r="A3544" i="28"/>
  <c r="A3543" i="28"/>
  <c r="A3542" i="28"/>
  <c r="A3541" i="28"/>
  <c r="A3540" i="28"/>
  <c r="A3539" i="28"/>
  <c r="A3538" i="28"/>
  <c r="A3537" i="28"/>
  <c r="A3536" i="28"/>
  <c r="A3535" i="28"/>
  <c r="A3534" i="28"/>
  <c r="A3533" i="28"/>
  <c r="A3532" i="28"/>
  <c r="A3531" i="28"/>
  <c r="A3530" i="28"/>
  <c r="A3529" i="28"/>
  <c r="A3528" i="28"/>
  <c r="A3527" i="28"/>
  <c r="A3526" i="28"/>
  <c r="A3525" i="28"/>
  <c r="A3524" i="28"/>
  <c r="A3523" i="28"/>
  <c r="A3522" i="28"/>
  <c r="A3521" i="28"/>
  <c r="A3520" i="28"/>
  <c r="A3519" i="28"/>
  <c r="A3518" i="28"/>
  <c r="A3517" i="28"/>
  <c r="A3516" i="28"/>
  <c r="A3515" i="28"/>
  <c r="A3514" i="28"/>
  <c r="A3513" i="28"/>
  <c r="A3512" i="28"/>
  <c r="A3511" i="28"/>
  <c r="A3510" i="28"/>
  <c r="A3509" i="28"/>
  <c r="A3508" i="28"/>
  <c r="A3507" i="28"/>
  <c r="A3506" i="28"/>
  <c r="A3505" i="28"/>
  <c r="A3504" i="28"/>
  <c r="A3503" i="28"/>
  <c r="A3502" i="28"/>
  <c r="A3501" i="28"/>
  <c r="A3500" i="28"/>
  <c r="A3499" i="28"/>
  <c r="A3498" i="28"/>
  <c r="A3497" i="28"/>
  <c r="A3496" i="28"/>
  <c r="A3495" i="28"/>
  <c r="A3494" i="28"/>
  <c r="A3493" i="28"/>
  <c r="A3492" i="28"/>
  <c r="A3491" i="28"/>
  <c r="A3490" i="28"/>
  <c r="A3489" i="28"/>
  <c r="A3488" i="28"/>
  <c r="A3487" i="28"/>
  <c r="A3486" i="28"/>
  <c r="A3485" i="28"/>
  <c r="A3484" i="28"/>
  <c r="A3483" i="28"/>
  <c r="A3482" i="28"/>
  <c r="A3481" i="28"/>
  <c r="A3480" i="28"/>
  <c r="A3479" i="28"/>
  <c r="A3478" i="28"/>
  <c r="A3477" i="28"/>
  <c r="A3476" i="28"/>
  <c r="A3475" i="28"/>
  <c r="A3474" i="28"/>
  <c r="A3473" i="28"/>
  <c r="A3472" i="28"/>
  <c r="A3471" i="28"/>
  <c r="A3470" i="28"/>
  <c r="A3469" i="28"/>
  <c r="A3468" i="28"/>
  <c r="A3467" i="28"/>
  <c r="A3466" i="28"/>
  <c r="A3465" i="28"/>
  <c r="A3464" i="28"/>
  <c r="A3463" i="28"/>
  <c r="A3462" i="28"/>
  <c r="A3461" i="28"/>
  <c r="A3460" i="28"/>
  <c r="A3459" i="28"/>
  <c r="A3458" i="28"/>
  <c r="A3457" i="28"/>
  <c r="A3456" i="28"/>
  <c r="A3455" i="28"/>
  <c r="A3454" i="28"/>
  <c r="A3453" i="28"/>
  <c r="A3452" i="28"/>
  <c r="A3451" i="28"/>
  <c r="A3450" i="28"/>
  <c r="A3449" i="28"/>
  <c r="A3448" i="28"/>
  <c r="A3447" i="28"/>
  <c r="A3446" i="28"/>
  <c r="A3445" i="28"/>
  <c r="A3444" i="28"/>
  <c r="A3443" i="28"/>
  <c r="A3442" i="28"/>
  <c r="A3441" i="28"/>
  <c r="A3440" i="28"/>
  <c r="A3439" i="28"/>
  <c r="A3438" i="28"/>
  <c r="A3437" i="28"/>
  <c r="A3436" i="28"/>
  <c r="A3435" i="28"/>
  <c r="A3434" i="28"/>
  <c r="A3433" i="28"/>
  <c r="A3432" i="28"/>
  <c r="A3431" i="28"/>
  <c r="A3430" i="28"/>
  <c r="A3429" i="28"/>
  <c r="A3428" i="28"/>
  <c r="A3427" i="28"/>
  <c r="A3426" i="28"/>
  <c r="A3425" i="28"/>
  <c r="A3424" i="28"/>
  <c r="A3423" i="28"/>
  <c r="A3422" i="28"/>
  <c r="A3421" i="28"/>
  <c r="A3420" i="28"/>
  <c r="A3419" i="28"/>
  <c r="A3418" i="28"/>
  <c r="A3417" i="28"/>
  <c r="A3416" i="28"/>
  <c r="A3415" i="28"/>
  <c r="A3414" i="28"/>
  <c r="A3413" i="28"/>
  <c r="A3412" i="28"/>
  <c r="A3411" i="28"/>
  <c r="A3410" i="28"/>
  <c r="A3409" i="28"/>
  <c r="A3408" i="28"/>
  <c r="A3407" i="28"/>
  <c r="A3406" i="28"/>
  <c r="A3405" i="28"/>
  <c r="A3404" i="28"/>
  <c r="A3403" i="28"/>
  <c r="A3402" i="28"/>
  <c r="A3401" i="28"/>
  <c r="A3400" i="28"/>
  <c r="A3399" i="28"/>
  <c r="A3398" i="28"/>
  <c r="A3397" i="28"/>
  <c r="A3396" i="28"/>
  <c r="A3395" i="28"/>
  <c r="A3394" i="28"/>
  <c r="A3393" i="28"/>
  <c r="A3392" i="28"/>
  <c r="A3391" i="28"/>
  <c r="A3390" i="28"/>
  <c r="A3389" i="28"/>
  <c r="A3388" i="28"/>
  <c r="A3387" i="28"/>
  <c r="A3386" i="28"/>
  <c r="A3385" i="28"/>
  <c r="A3384" i="28"/>
  <c r="A3383" i="28"/>
  <c r="A3382" i="28"/>
  <c r="A3381" i="28"/>
  <c r="A3380" i="28"/>
  <c r="A3379" i="28"/>
  <c r="A3378" i="28"/>
  <c r="A3377" i="28"/>
  <c r="A3376" i="28"/>
  <c r="A3375" i="28"/>
  <c r="A3374" i="28"/>
  <c r="A3373" i="28"/>
  <c r="A3372" i="28"/>
  <c r="A3371" i="28"/>
  <c r="A3370" i="28"/>
  <c r="A3369" i="28"/>
  <c r="A3368" i="28"/>
  <c r="A3367" i="28"/>
  <c r="A3366" i="28"/>
  <c r="A3365" i="28"/>
  <c r="A3364" i="28"/>
  <c r="A3363" i="28"/>
  <c r="A3362" i="28"/>
  <c r="A3361" i="28"/>
  <c r="A3360" i="28"/>
  <c r="A3359" i="28"/>
  <c r="A3358" i="28"/>
  <c r="A3357" i="28"/>
  <c r="A3356" i="28"/>
  <c r="A3355" i="28"/>
  <c r="A3354" i="28"/>
  <c r="A3353" i="28"/>
  <c r="A3352" i="28"/>
  <c r="A3351" i="28"/>
  <c r="A3350" i="28"/>
  <c r="A3349" i="28"/>
  <c r="A3348" i="28"/>
  <c r="A3347" i="28"/>
  <c r="A3346" i="28"/>
  <c r="A3345" i="28"/>
  <c r="A3344" i="28"/>
  <c r="A3343" i="28"/>
  <c r="A3342" i="28"/>
  <c r="A3341" i="28"/>
  <c r="A3340" i="28"/>
  <c r="A3339" i="28"/>
  <c r="A3338" i="28"/>
  <c r="A3337" i="28"/>
  <c r="A3336" i="28"/>
  <c r="A3335" i="28"/>
  <c r="A3334" i="28"/>
  <c r="A3333" i="28"/>
  <c r="A3332" i="28"/>
  <c r="A3331" i="28"/>
  <c r="A3330" i="28"/>
  <c r="A3329" i="28"/>
  <c r="A3328" i="28"/>
  <c r="A3327" i="28"/>
  <c r="A3326" i="28"/>
  <c r="A3325" i="28"/>
  <c r="A3324" i="28"/>
  <c r="A3323" i="28"/>
  <c r="A3322" i="28"/>
  <c r="A3321" i="28"/>
  <c r="A3320" i="28"/>
  <c r="A3319" i="28"/>
  <c r="A3318" i="28"/>
  <c r="A3317" i="28"/>
  <c r="A3316" i="28"/>
  <c r="A3315" i="28"/>
  <c r="A3314" i="28"/>
  <c r="A3313" i="28"/>
  <c r="A3312" i="28"/>
  <c r="A3311" i="28"/>
  <c r="A3310" i="28"/>
  <c r="A3309" i="28"/>
  <c r="A3308" i="28"/>
  <c r="A3307" i="28"/>
  <c r="A3306" i="28"/>
  <c r="A3305" i="28"/>
  <c r="A3304" i="28"/>
  <c r="A3303" i="28"/>
  <c r="A3302" i="28"/>
  <c r="A3301" i="28"/>
  <c r="A3300" i="28"/>
  <c r="A3299" i="28"/>
  <c r="A3298" i="28"/>
  <c r="A3297" i="28"/>
  <c r="A3296" i="28"/>
  <c r="A3295" i="28"/>
  <c r="A3294" i="28"/>
  <c r="A3293" i="28"/>
  <c r="A3292" i="28"/>
  <c r="A3291" i="28"/>
  <c r="A3290" i="28"/>
  <c r="A3289" i="28"/>
  <c r="A3288" i="28"/>
  <c r="A3287" i="28"/>
  <c r="A3286" i="28"/>
  <c r="A3285" i="28"/>
  <c r="A3284" i="28"/>
  <c r="A3283" i="28"/>
  <c r="A3282" i="28"/>
  <c r="A3281" i="28"/>
  <c r="A3280" i="28"/>
  <c r="A3279" i="28"/>
  <c r="A3278" i="28"/>
  <c r="A3277" i="28"/>
  <c r="A3276" i="28"/>
  <c r="A3275" i="28"/>
  <c r="A3274" i="28"/>
  <c r="A3273" i="28"/>
  <c r="A3272" i="28"/>
  <c r="A3271" i="28"/>
  <c r="A3270" i="28"/>
  <c r="A3269" i="28"/>
  <c r="A3268" i="28"/>
  <c r="A3267" i="28"/>
  <c r="A3266" i="28"/>
  <c r="A3265" i="28"/>
  <c r="A3264" i="28"/>
  <c r="A3263" i="28"/>
  <c r="A3262" i="28"/>
  <c r="A3261" i="28"/>
  <c r="A3260" i="28"/>
  <c r="A3259" i="28"/>
  <c r="A3258" i="28"/>
  <c r="A3257" i="28"/>
  <c r="A3256" i="28"/>
  <c r="A3255" i="28"/>
  <c r="A3254" i="28"/>
  <c r="A3253" i="28"/>
  <c r="A3252" i="28"/>
  <c r="A3251" i="28"/>
  <c r="A3250" i="28"/>
  <c r="A3249" i="28"/>
  <c r="A3248" i="28"/>
  <c r="A3247" i="28"/>
  <c r="A3246" i="28"/>
  <c r="A3245" i="28"/>
  <c r="A3244" i="28"/>
  <c r="A3243" i="28"/>
  <c r="A3242" i="28"/>
  <c r="A3241" i="28"/>
  <c r="A3240" i="28"/>
  <c r="A3239" i="28"/>
  <c r="A3238" i="28"/>
  <c r="A3237" i="28"/>
  <c r="A3236" i="28"/>
  <c r="A3235" i="28"/>
  <c r="A3234" i="28"/>
  <c r="A3233" i="28"/>
  <c r="A3232" i="28"/>
  <c r="A3231" i="28"/>
  <c r="A3230" i="28"/>
  <c r="A3229" i="28"/>
  <c r="A3228" i="28"/>
  <c r="A3227" i="28"/>
  <c r="A3226" i="28"/>
  <c r="A3225" i="28"/>
  <c r="A3224" i="28"/>
  <c r="A3223" i="28"/>
  <c r="A3222" i="28"/>
  <c r="A3221" i="28"/>
  <c r="A3220" i="28"/>
  <c r="A3219" i="28"/>
  <c r="A3218" i="28"/>
  <c r="A3217" i="28"/>
  <c r="A3216" i="28"/>
  <c r="A3215" i="28"/>
  <c r="A3214" i="28"/>
  <c r="A3213" i="28"/>
  <c r="A3212" i="28"/>
  <c r="A3211" i="28"/>
  <c r="A3210" i="28"/>
  <c r="A3209" i="28"/>
  <c r="A3208" i="28"/>
  <c r="A3207" i="28"/>
  <c r="A3206" i="28"/>
  <c r="A3205" i="28"/>
  <c r="A3204" i="28"/>
  <c r="A3203" i="28"/>
  <c r="A3202" i="28"/>
  <c r="A3201" i="28"/>
  <c r="A3200" i="28"/>
  <c r="A3199" i="28"/>
  <c r="A3198" i="28"/>
  <c r="A3197" i="28"/>
  <c r="A3196" i="28"/>
  <c r="A3195" i="28"/>
  <c r="A3194" i="28"/>
  <c r="A3193" i="28"/>
  <c r="A3192" i="28"/>
  <c r="A3191" i="28"/>
  <c r="A3190" i="28"/>
  <c r="A3189" i="28"/>
  <c r="A3188" i="28"/>
  <c r="A3187" i="28"/>
  <c r="A3186" i="28"/>
  <c r="A3185" i="28"/>
  <c r="A3184" i="28"/>
  <c r="A3183" i="28"/>
  <c r="A3182" i="28"/>
  <c r="A3181" i="28"/>
  <c r="A3180" i="28"/>
  <c r="A3179" i="28"/>
  <c r="A3178" i="28"/>
  <c r="A3177" i="28"/>
  <c r="A3176" i="28"/>
  <c r="A3175" i="28"/>
  <c r="A3174" i="28"/>
  <c r="A3173" i="28"/>
  <c r="A3172" i="28"/>
  <c r="A3171" i="28"/>
  <c r="A3170" i="28"/>
  <c r="A3169" i="28"/>
  <c r="A3168" i="28"/>
  <c r="A3167" i="28"/>
  <c r="A3166" i="28"/>
  <c r="A3165" i="28"/>
  <c r="A3164" i="28"/>
  <c r="A3163" i="28"/>
  <c r="A3162" i="28"/>
  <c r="A3161" i="28"/>
  <c r="A3160" i="28"/>
  <c r="A3159" i="28"/>
  <c r="A3158" i="28"/>
  <c r="A3157" i="28"/>
  <c r="A3156" i="28"/>
  <c r="A3155" i="28"/>
  <c r="A3154" i="28"/>
  <c r="A3153" i="28"/>
  <c r="A3152" i="28"/>
  <c r="A3151" i="28"/>
  <c r="A3150" i="28"/>
  <c r="A3149" i="28"/>
  <c r="A3148" i="28"/>
  <c r="A3147" i="28"/>
  <c r="A3146" i="28"/>
  <c r="A3145" i="28"/>
  <c r="A3144" i="28"/>
  <c r="A3143" i="28"/>
  <c r="A3142" i="28"/>
  <c r="A3141" i="28"/>
  <c r="A3140" i="28"/>
  <c r="A3139" i="28"/>
  <c r="A3138" i="28"/>
  <c r="A3137" i="28"/>
  <c r="A3136" i="28"/>
  <c r="A3135" i="28"/>
  <c r="A3134" i="28"/>
  <c r="A3133" i="28"/>
  <c r="A3132" i="28"/>
  <c r="A3131" i="28"/>
  <c r="A3130" i="28"/>
  <c r="A3129" i="28"/>
  <c r="A3128" i="28"/>
  <c r="A3127" i="28"/>
  <c r="A3126" i="28"/>
  <c r="A3125" i="28"/>
  <c r="A3124" i="28"/>
  <c r="A3123" i="28"/>
  <c r="A3122" i="28"/>
  <c r="A3121" i="28"/>
  <c r="A3120" i="28"/>
  <c r="A3119" i="28"/>
  <c r="A3118" i="28"/>
  <c r="A3117" i="28"/>
  <c r="A3116" i="28"/>
  <c r="A3115" i="28"/>
  <c r="A3114" i="28"/>
  <c r="A3113" i="28"/>
  <c r="A3112" i="28"/>
  <c r="A3111" i="28"/>
  <c r="A3110" i="28"/>
  <c r="A3109" i="28"/>
  <c r="A3108" i="28"/>
  <c r="A3107" i="28"/>
  <c r="A3106" i="28"/>
  <c r="A3105" i="28"/>
  <c r="A3104" i="28"/>
  <c r="A3103" i="28"/>
  <c r="A3102" i="28"/>
  <c r="A3101" i="28"/>
  <c r="A3100" i="28"/>
  <c r="A3099" i="28"/>
  <c r="A3098" i="28"/>
  <c r="A3097" i="28"/>
  <c r="A3096" i="28"/>
  <c r="A3095" i="28"/>
  <c r="A3094" i="28"/>
  <c r="A3093" i="28"/>
  <c r="A3092" i="28"/>
  <c r="A3091" i="28"/>
  <c r="A3090" i="28"/>
  <c r="A3089" i="28"/>
  <c r="A3088" i="28"/>
  <c r="A3087" i="28"/>
  <c r="A3086" i="28"/>
  <c r="A3085" i="28"/>
  <c r="A3084" i="28"/>
  <c r="A3083" i="28"/>
  <c r="A3082" i="28"/>
  <c r="A3081" i="28"/>
  <c r="A3080" i="28"/>
  <c r="A3079" i="28"/>
  <c r="A3078" i="28"/>
  <c r="A3077" i="28"/>
  <c r="A3076" i="28"/>
  <c r="A3075" i="28"/>
  <c r="A3074" i="28"/>
  <c r="A3073" i="28"/>
  <c r="A3072" i="28"/>
  <c r="A3071" i="28"/>
  <c r="A3070" i="28"/>
  <c r="A3069" i="28"/>
  <c r="A3068" i="28"/>
  <c r="A3067" i="28"/>
  <c r="A3066" i="28"/>
  <c r="A3065" i="28"/>
  <c r="A3064" i="28"/>
  <c r="A3063" i="28"/>
  <c r="A3062" i="28"/>
  <c r="A3061" i="28"/>
  <c r="A3060" i="28"/>
  <c r="A3059" i="28"/>
  <c r="A3058" i="28"/>
  <c r="A3057" i="28"/>
  <c r="A3056" i="28"/>
  <c r="A3055" i="28"/>
  <c r="A3054" i="28"/>
  <c r="A3053" i="28"/>
  <c r="A3052" i="28"/>
  <c r="A3051" i="28"/>
  <c r="A3050" i="28"/>
  <c r="A3049" i="28"/>
  <c r="A3048" i="28"/>
  <c r="A3047" i="28"/>
  <c r="A3046" i="28"/>
  <c r="A3045" i="28"/>
  <c r="A3044" i="28"/>
  <c r="A3043" i="28"/>
  <c r="A3042" i="28"/>
  <c r="A3041" i="28"/>
  <c r="A3040" i="28"/>
  <c r="A3039" i="28"/>
  <c r="A3038" i="28"/>
  <c r="A3037" i="28"/>
  <c r="A3036" i="28"/>
  <c r="A3035" i="28"/>
  <c r="A3034" i="28"/>
  <c r="A3033" i="28"/>
  <c r="A3032" i="28"/>
  <c r="A3031" i="28"/>
  <c r="A3030" i="28"/>
  <c r="A3029" i="28"/>
  <c r="A3028" i="28"/>
  <c r="A3027" i="28"/>
  <c r="A3026" i="28"/>
  <c r="A3025" i="28"/>
  <c r="A3024" i="28"/>
  <c r="A3023" i="28"/>
  <c r="A3022" i="28"/>
  <c r="A3021" i="28"/>
  <c r="A3020" i="28"/>
  <c r="A3019" i="28"/>
  <c r="A3018" i="28"/>
  <c r="A3017" i="28"/>
  <c r="A3016" i="28"/>
  <c r="A3015" i="28"/>
  <c r="A3014" i="28"/>
  <c r="A3013" i="28"/>
  <c r="A3012" i="28"/>
  <c r="A3011" i="28"/>
  <c r="A3010" i="28"/>
  <c r="A3009" i="28"/>
  <c r="A3008" i="28"/>
  <c r="A3007" i="28"/>
  <c r="A3006" i="28"/>
  <c r="A3005" i="28"/>
  <c r="A3004" i="28"/>
  <c r="A3003" i="28"/>
  <c r="A3002" i="28"/>
  <c r="A3001" i="28"/>
  <c r="A3000" i="28"/>
  <c r="A2999" i="28"/>
  <c r="A2998" i="28"/>
  <c r="A2997" i="28"/>
  <c r="A2996" i="28"/>
  <c r="A2995" i="28"/>
  <c r="A2994" i="28"/>
  <c r="A2993" i="28"/>
  <c r="A2992" i="28"/>
  <c r="A2991" i="28"/>
  <c r="A2990" i="28"/>
  <c r="A2989" i="28"/>
  <c r="A2988" i="28"/>
  <c r="A2987" i="28"/>
  <c r="A2986" i="28"/>
  <c r="A2985" i="28"/>
  <c r="A2984" i="28"/>
  <c r="A2983" i="28"/>
  <c r="A2982" i="28"/>
  <c r="A2981" i="28"/>
  <c r="A2980" i="28"/>
  <c r="A2979" i="28"/>
  <c r="A2978" i="28"/>
  <c r="A2977" i="28"/>
  <c r="A2976" i="28"/>
  <c r="A2975" i="28"/>
  <c r="A2974" i="28"/>
  <c r="A2973" i="28"/>
  <c r="A2972" i="28"/>
  <c r="A2971" i="28"/>
  <c r="A2970" i="28"/>
  <c r="A2969" i="28"/>
  <c r="A2968" i="28"/>
  <c r="A2967" i="28"/>
  <c r="A2966" i="28"/>
  <c r="A2965" i="28"/>
  <c r="A2964" i="28"/>
  <c r="A2963" i="28"/>
  <c r="A2962" i="28"/>
  <c r="A2961" i="28"/>
  <c r="A2960" i="28"/>
  <c r="A2959" i="28"/>
  <c r="A2958" i="28"/>
  <c r="A2957" i="28"/>
  <c r="A2956" i="28"/>
  <c r="A2955" i="28"/>
  <c r="A2954" i="28"/>
  <c r="A2953" i="28"/>
  <c r="A2952" i="28"/>
  <c r="A2951" i="28"/>
  <c r="A2950" i="28"/>
  <c r="A2949" i="28"/>
  <c r="A2948" i="28"/>
  <c r="A2947" i="28"/>
  <c r="A2946" i="28"/>
  <c r="A2945" i="28"/>
  <c r="A2944" i="28"/>
  <c r="A2943" i="28"/>
  <c r="A2942" i="28"/>
  <c r="A2941" i="28"/>
  <c r="A2940" i="28"/>
  <c r="A2939" i="28"/>
  <c r="A2938" i="28"/>
  <c r="A2937" i="28"/>
  <c r="A2936" i="28"/>
  <c r="A2935" i="28"/>
  <c r="A2934" i="28"/>
  <c r="A2933" i="28"/>
  <c r="A2932" i="28"/>
  <c r="A2931" i="28"/>
  <c r="A2930" i="28"/>
  <c r="A2929" i="28"/>
  <c r="A2928" i="28"/>
  <c r="A2927" i="28"/>
  <c r="A2926" i="28"/>
  <c r="A2925" i="28"/>
  <c r="A2924" i="28"/>
  <c r="A2923" i="28"/>
  <c r="A2922" i="28"/>
  <c r="A2921" i="28"/>
  <c r="A2920" i="28"/>
  <c r="A2919" i="28"/>
  <c r="A2918" i="28"/>
  <c r="A2917" i="28"/>
  <c r="A2916" i="28"/>
  <c r="A2915" i="28"/>
  <c r="A2914" i="28"/>
  <c r="A2913" i="28"/>
  <c r="A2912" i="28"/>
  <c r="A2911" i="28"/>
  <c r="A2910" i="28"/>
  <c r="A2909" i="28"/>
  <c r="A2908" i="28"/>
  <c r="A2907" i="28"/>
  <c r="A2906" i="28"/>
  <c r="A2905" i="28"/>
  <c r="A2904" i="28"/>
  <c r="A2903" i="28"/>
  <c r="A2902" i="28"/>
  <c r="A2901" i="28"/>
  <c r="A2900" i="28"/>
  <c r="A2899" i="28"/>
  <c r="A2898" i="28"/>
  <c r="A2897" i="28"/>
  <c r="A2896" i="28"/>
  <c r="A2895" i="28"/>
  <c r="A2894" i="28"/>
  <c r="A2893" i="28"/>
  <c r="A2892" i="28"/>
  <c r="A2891" i="28"/>
  <c r="A2890" i="28"/>
  <c r="A2889" i="28"/>
  <c r="A2888" i="28"/>
  <c r="A2887" i="28"/>
  <c r="A2886" i="28"/>
  <c r="A2885" i="28"/>
  <c r="A2884" i="28"/>
  <c r="A2883" i="28"/>
  <c r="A2882" i="28"/>
  <c r="A2881" i="28"/>
  <c r="A2880" i="28"/>
  <c r="A2879" i="28"/>
  <c r="A2878" i="28"/>
  <c r="A2877" i="28"/>
  <c r="A2876" i="28"/>
  <c r="A2875" i="28"/>
  <c r="A2874" i="28"/>
  <c r="A2873" i="28"/>
  <c r="A2872" i="28"/>
  <c r="A2871" i="28"/>
  <c r="A2870" i="28"/>
  <c r="A2869" i="28"/>
  <c r="A2868" i="28"/>
  <c r="A2867" i="28"/>
  <c r="A2866" i="28"/>
  <c r="A2865" i="28"/>
  <c r="A2864" i="28"/>
  <c r="A2863" i="28"/>
  <c r="A2862" i="28"/>
  <c r="A2861" i="28"/>
  <c r="A2860" i="28"/>
  <c r="A2859" i="28"/>
  <c r="A2858" i="28"/>
  <c r="A2857" i="28"/>
  <c r="A2856" i="28"/>
  <c r="A2855" i="28"/>
  <c r="A2854" i="28"/>
  <c r="A2853" i="28"/>
  <c r="A2852" i="28"/>
  <c r="A2851" i="28"/>
  <c r="A2850" i="28"/>
  <c r="A2849" i="28"/>
  <c r="A2848" i="28"/>
  <c r="A2847" i="28"/>
  <c r="A2846" i="28"/>
  <c r="A2845" i="28"/>
  <c r="A2844" i="28"/>
  <c r="A2843" i="28"/>
  <c r="A2842" i="28"/>
  <c r="A2841" i="28"/>
  <c r="A2840" i="28"/>
  <c r="A2839" i="28"/>
  <c r="A2838" i="28"/>
  <c r="A2837" i="28"/>
  <c r="A2836" i="28"/>
  <c r="A2835" i="28"/>
  <c r="A2834" i="28"/>
  <c r="A2833" i="28"/>
  <c r="A2832" i="28"/>
  <c r="A2831" i="28"/>
  <c r="A2830" i="28"/>
  <c r="A2829" i="28"/>
  <c r="A2828" i="28"/>
  <c r="A2827" i="28"/>
  <c r="A2826" i="28"/>
  <c r="A2825" i="28"/>
  <c r="A2824" i="28"/>
  <c r="A2823" i="28"/>
  <c r="A2822" i="28"/>
  <c r="A2821" i="28"/>
  <c r="A2820" i="28"/>
  <c r="A2819" i="28"/>
  <c r="A2818" i="28"/>
  <c r="A2817" i="28"/>
  <c r="A2816" i="28"/>
  <c r="A2815" i="28"/>
  <c r="A2814" i="28"/>
  <c r="A2813" i="28"/>
  <c r="A2812" i="28"/>
  <c r="A2811" i="28"/>
  <c r="A2810" i="28"/>
  <c r="A2809" i="28"/>
  <c r="A2808" i="28"/>
  <c r="A2807" i="28"/>
  <c r="A2806" i="28"/>
  <c r="A2805" i="28"/>
  <c r="A2804" i="28"/>
  <c r="A2803" i="28"/>
  <c r="A2802" i="28"/>
  <c r="A2801" i="28"/>
  <c r="A2800" i="28"/>
  <c r="A2799" i="28"/>
  <c r="A2798" i="28"/>
  <c r="A2797" i="28"/>
  <c r="A2796" i="28"/>
  <c r="A2795" i="28"/>
  <c r="A2794" i="28"/>
  <c r="A2793" i="28"/>
  <c r="A2792" i="28"/>
  <c r="A2791" i="28"/>
  <c r="A2790" i="28"/>
  <c r="A2789" i="28"/>
  <c r="A2788" i="28"/>
  <c r="A2787" i="28"/>
  <c r="A2786" i="28"/>
  <c r="A2785" i="28"/>
  <c r="A2784" i="28"/>
  <c r="A2783" i="28"/>
  <c r="A2782" i="28"/>
  <c r="A2781" i="28"/>
  <c r="A2780" i="28"/>
  <c r="A2779" i="28"/>
  <c r="A2778" i="28"/>
  <c r="A2777" i="28"/>
  <c r="A2776" i="28"/>
  <c r="A2775" i="28"/>
  <c r="A2774" i="28"/>
  <c r="A2773" i="28"/>
  <c r="A2772" i="28"/>
  <c r="A2771" i="28"/>
  <c r="A2770" i="28"/>
  <c r="A2769" i="28"/>
  <c r="A2768" i="28"/>
  <c r="A2767" i="28"/>
  <c r="A2766" i="28"/>
  <c r="A2765" i="28"/>
  <c r="A2764" i="28"/>
  <c r="A2763" i="28"/>
  <c r="A2762" i="28"/>
  <c r="A2761" i="28"/>
  <c r="A2760" i="28"/>
  <c r="A2759" i="28"/>
  <c r="A2758" i="28"/>
  <c r="A2757" i="28"/>
  <c r="A2756" i="28"/>
  <c r="A2755" i="28"/>
  <c r="A2754" i="28"/>
  <c r="A2753" i="28"/>
  <c r="A2752" i="28"/>
  <c r="A2751" i="28"/>
  <c r="A2750" i="28"/>
  <c r="A2749" i="28"/>
  <c r="A2748" i="28"/>
  <c r="A2747" i="28"/>
  <c r="A2746" i="28"/>
  <c r="A2745" i="28"/>
  <c r="A2744" i="28"/>
  <c r="A2743" i="28"/>
  <c r="A2742" i="28"/>
  <c r="A2741" i="28"/>
  <c r="A2740" i="28"/>
  <c r="A2739" i="28"/>
  <c r="A2738" i="28"/>
  <c r="A2737" i="28"/>
  <c r="A2736" i="28"/>
  <c r="A2735" i="28"/>
  <c r="A2734" i="28"/>
  <c r="A2733" i="28"/>
  <c r="A2732" i="28"/>
  <c r="A2731" i="28"/>
  <c r="A2730" i="28"/>
  <c r="A2729" i="28"/>
  <c r="A2728" i="28"/>
  <c r="A2727" i="28"/>
  <c r="A2726" i="28"/>
  <c r="A2725" i="28"/>
  <c r="A2724" i="28"/>
  <c r="A2723" i="28"/>
  <c r="A2722" i="28"/>
  <c r="A2721" i="28"/>
  <c r="A2720" i="28"/>
  <c r="A2719" i="28"/>
  <c r="A2718" i="28"/>
  <c r="A2717" i="28"/>
  <c r="A2716" i="28"/>
  <c r="A2715" i="28"/>
  <c r="A2714" i="28"/>
  <c r="A2713" i="28"/>
  <c r="A2712" i="28"/>
  <c r="A2711" i="28"/>
  <c r="A2710" i="28"/>
  <c r="A2709" i="28"/>
  <c r="A2708" i="28"/>
  <c r="A2707" i="28"/>
  <c r="A2706" i="28"/>
  <c r="A2705" i="28"/>
  <c r="A2704" i="28"/>
  <c r="A2703" i="28"/>
  <c r="A2702" i="28"/>
  <c r="A2701" i="28"/>
  <c r="A2700" i="28"/>
  <c r="A2699" i="28"/>
  <c r="A2698" i="28"/>
  <c r="A2697" i="28"/>
  <c r="A2696" i="28"/>
  <c r="A2695" i="28"/>
  <c r="A2694" i="28"/>
  <c r="A2693" i="28"/>
  <c r="A2692" i="28"/>
  <c r="A2691" i="28"/>
  <c r="A2690" i="28"/>
  <c r="A2689" i="28"/>
  <c r="A2688" i="28"/>
  <c r="A2687" i="28"/>
  <c r="A2686" i="28"/>
  <c r="A2685" i="28"/>
  <c r="A2684" i="28"/>
  <c r="A2683" i="28"/>
  <c r="A2682" i="28"/>
  <c r="A2681" i="28"/>
  <c r="A2680" i="28"/>
  <c r="A2679" i="28"/>
  <c r="A2678" i="28"/>
  <c r="A2677" i="28"/>
  <c r="A2676" i="28"/>
  <c r="A2675" i="28"/>
  <c r="A2674" i="28"/>
  <c r="A2673" i="28"/>
  <c r="A2672" i="28"/>
  <c r="A2671" i="28"/>
  <c r="A2670" i="28"/>
  <c r="A2669" i="28"/>
  <c r="A2668" i="28"/>
  <c r="A2667" i="28"/>
  <c r="A2666" i="28"/>
  <c r="A2665" i="28"/>
  <c r="A2664" i="28"/>
  <c r="A2663" i="28"/>
  <c r="A2662" i="28"/>
  <c r="A2661" i="28"/>
  <c r="A2660" i="28"/>
  <c r="A2659" i="28"/>
  <c r="A2658" i="28"/>
  <c r="A2657" i="28"/>
  <c r="A2656" i="28"/>
  <c r="A2655" i="28"/>
  <c r="A2654" i="28"/>
  <c r="A2653" i="28"/>
  <c r="A2652" i="28"/>
  <c r="A2651" i="28"/>
  <c r="A2650" i="28"/>
  <c r="A2649" i="28"/>
  <c r="A2648" i="28"/>
  <c r="A2647" i="28"/>
  <c r="A2646" i="28"/>
  <c r="A2645" i="28"/>
  <c r="A2644" i="28"/>
  <c r="A2643" i="28"/>
  <c r="A2642" i="28"/>
  <c r="A2641" i="28"/>
  <c r="A2640" i="28"/>
  <c r="A2639" i="28"/>
  <c r="A2638" i="28"/>
  <c r="A2637" i="28"/>
  <c r="A2636" i="28"/>
  <c r="A2635" i="28"/>
  <c r="A2634" i="28"/>
  <c r="A2633" i="28"/>
  <c r="A2632" i="28"/>
  <c r="A2631" i="28"/>
  <c r="A2630" i="28"/>
  <c r="A2629" i="28"/>
  <c r="A2628" i="28"/>
  <c r="A2627" i="28"/>
  <c r="A2626" i="28"/>
  <c r="A2625" i="28"/>
  <c r="A2624" i="28"/>
  <c r="A2623" i="28"/>
  <c r="A2622" i="28"/>
  <c r="A2621" i="28"/>
  <c r="A2620" i="28"/>
  <c r="A2619" i="28"/>
  <c r="A2618" i="28"/>
  <c r="A2617" i="28"/>
  <c r="A2616" i="28"/>
  <c r="A2615" i="28"/>
  <c r="A2614" i="28"/>
  <c r="A2613" i="28"/>
  <c r="A2612" i="28"/>
  <c r="A2611" i="28"/>
  <c r="A2610" i="28"/>
  <c r="A2609" i="28"/>
  <c r="A2608" i="28"/>
  <c r="A2607" i="28"/>
  <c r="A2606" i="28"/>
  <c r="A2605" i="28"/>
  <c r="A2604" i="28"/>
  <c r="A2603" i="28"/>
  <c r="A2602" i="28"/>
  <c r="A2601" i="28"/>
  <c r="A2600" i="28"/>
  <c r="A2599" i="28"/>
  <c r="A2598" i="28"/>
  <c r="A2597" i="28"/>
  <c r="A2596" i="28"/>
  <c r="A2595" i="28"/>
  <c r="A2594" i="28"/>
  <c r="A2593" i="28"/>
  <c r="A2592" i="28"/>
  <c r="A2591" i="28"/>
  <c r="A2590" i="28"/>
  <c r="A2589" i="28"/>
  <c r="A2588" i="28"/>
  <c r="A2587" i="28"/>
  <c r="A2586" i="28"/>
  <c r="A2585" i="28"/>
  <c r="A2584" i="28"/>
  <c r="A2583" i="28"/>
  <c r="A2582" i="28"/>
  <c r="A2581" i="28"/>
  <c r="A2580" i="28"/>
  <c r="A2579" i="28"/>
  <c r="A2578" i="28"/>
  <c r="A2577" i="28"/>
  <c r="A2576" i="28"/>
  <c r="A2575" i="28"/>
  <c r="A2574" i="28"/>
  <c r="A2573" i="28"/>
  <c r="A2572" i="28"/>
  <c r="A2571" i="28"/>
  <c r="A2570" i="28"/>
  <c r="A2569" i="28"/>
  <c r="A2568" i="28"/>
  <c r="A2567" i="28"/>
  <c r="A2566" i="28"/>
  <c r="A2565" i="28"/>
  <c r="A2564" i="28"/>
  <c r="A2563" i="28"/>
  <c r="A2562" i="28"/>
  <c r="A2561" i="28"/>
  <c r="A2560" i="28"/>
  <c r="A2559" i="28"/>
  <c r="A2558" i="28"/>
  <c r="A2557" i="28"/>
  <c r="A2556" i="28"/>
  <c r="A2555" i="28"/>
  <c r="A2554" i="28"/>
  <c r="A2553" i="28"/>
  <c r="A2552" i="28"/>
  <c r="A2551" i="28"/>
  <c r="A2550" i="28"/>
  <c r="A2549" i="28"/>
  <c r="A2548" i="28"/>
  <c r="A2547" i="28"/>
  <c r="A2546" i="28"/>
  <c r="A2545" i="28"/>
  <c r="A2544" i="28"/>
  <c r="A2543" i="28"/>
  <c r="A2542" i="28"/>
  <c r="A2541" i="28"/>
  <c r="A2540" i="28"/>
  <c r="A2539" i="28"/>
  <c r="A2538" i="28"/>
  <c r="A2537" i="28"/>
  <c r="A2536" i="28"/>
  <c r="A2535" i="28"/>
  <c r="A2534" i="28"/>
  <c r="A2533" i="28"/>
  <c r="A2532" i="28"/>
  <c r="A2531" i="28"/>
  <c r="A2530" i="28"/>
  <c r="A2529" i="28"/>
  <c r="A2528" i="28"/>
  <c r="A2527" i="28"/>
  <c r="A2526" i="28"/>
  <c r="A2525" i="28"/>
  <c r="A2524" i="28"/>
  <c r="A2523" i="28"/>
  <c r="A2522" i="28"/>
  <c r="A2521" i="28"/>
  <c r="A2520" i="28"/>
  <c r="A2519" i="28"/>
  <c r="A2518" i="28"/>
  <c r="A2517" i="28"/>
  <c r="A2516" i="28"/>
  <c r="A2515" i="28"/>
  <c r="A2514" i="28"/>
  <c r="A2513" i="28"/>
  <c r="A2512" i="28"/>
  <c r="A2511" i="28"/>
  <c r="A2510" i="28"/>
  <c r="A2509" i="28"/>
  <c r="A2508" i="28"/>
  <c r="A2507" i="28"/>
  <c r="A2506" i="28"/>
  <c r="A2505" i="28"/>
  <c r="A2504" i="28"/>
  <c r="A2503" i="28"/>
  <c r="A2502" i="28"/>
  <c r="A2501" i="28"/>
  <c r="A2500" i="28"/>
  <c r="A2499" i="28"/>
  <c r="A2498" i="28"/>
  <c r="A2497" i="28"/>
  <c r="A2496" i="28"/>
  <c r="A2495" i="28"/>
  <c r="A2494" i="28"/>
  <c r="A2493" i="28"/>
  <c r="A2492" i="28"/>
  <c r="A2491" i="28"/>
  <c r="A2490" i="28"/>
  <c r="A2489" i="28"/>
  <c r="A2488" i="28"/>
  <c r="A2487" i="28"/>
  <c r="A2486" i="28"/>
  <c r="A2485" i="28"/>
  <c r="A2484" i="28"/>
  <c r="A2483" i="28"/>
  <c r="A2482" i="28"/>
  <c r="A2481" i="28"/>
  <c r="A2480" i="28"/>
  <c r="A2479" i="28"/>
  <c r="A2478" i="28"/>
  <c r="A2477" i="28"/>
  <c r="A2476" i="28"/>
  <c r="A2475" i="28"/>
  <c r="A2474" i="28"/>
  <c r="A2473" i="28"/>
  <c r="A2472" i="28"/>
  <c r="A2471" i="28"/>
  <c r="A2470" i="28"/>
  <c r="A2469" i="28"/>
  <c r="A2468" i="28"/>
  <c r="A2467" i="28"/>
  <c r="A2466" i="28"/>
  <c r="A2465" i="28"/>
  <c r="A2464" i="28"/>
  <c r="A2463" i="28"/>
  <c r="A2462" i="28"/>
  <c r="A2461" i="28"/>
  <c r="A2460" i="28"/>
  <c r="A2459" i="28"/>
  <c r="A2458" i="28"/>
  <c r="A2457" i="28"/>
  <c r="A2456" i="28"/>
  <c r="A2455" i="28"/>
  <c r="A2454" i="28"/>
  <c r="A2453" i="28"/>
  <c r="A2452" i="28"/>
  <c r="A2451" i="28"/>
  <c r="A2450" i="28"/>
  <c r="A2449" i="28"/>
  <c r="A2448" i="28"/>
  <c r="A2447" i="28"/>
  <c r="A2446" i="28"/>
  <c r="A2445" i="28"/>
  <c r="A2444" i="28"/>
  <c r="A2443" i="28"/>
  <c r="A2442" i="28"/>
  <c r="A2441" i="28"/>
  <c r="A2440" i="28"/>
  <c r="A2439" i="28"/>
  <c r="A2438" i="28"/>
  <c r="A2437" i="28"/>
  <c r="A2436" i="28"/>
  <c r="A2435" i="28"/>
  <c r="A2434" i="28"/>
  <c r="A2433" i="28"/>
  <c r="A2432" i="28"/>
  <c r="A2431" i="28"/>
  <c r="A2430" i="28"/>
  <c r="A2429" i="28"/>
  <c r="A2428" i="28"/>
  <c r="A2427" i="28"/>
  <c r="A2426" i="28"/>
  <c r="A2425" i="28"/>
  <c r="A2424" i="28"/>
  <c r="A2423" i="28"/>
  <c r="A2422" i="28"/>
  <c r="A2421" i="28"/>
  <c r="A2420" i="28"/>
  <c r="A2419" i="28"/>
  <c r="A2418" i="28"/>
  <c r="A2417" i="28"/>
  <c r="A2416" i="28"/>
  <c r="A2415" i="28"/>
  <c r="A2414" i="28"/>
  <c r="A2413" i="28"/>
  <c r="A2412" i="28"/>
  <c r="A2411" i="28"/>
  <c r="A2410" i="28"/>
  <c r="A2409" i="28"/>
  <c r="A2408" i="28"/>
  <c r="A2407" i="28"/>
  <c r="A2406" i="28"/>
  <c r="A2405" i="28"/>
  <c r="A2404" i="28"/>
  <c r="A2403" i="28"/>
  <c r="A2402" i="28"/>
  <c r="A2401" i="28"/>
  <c r="A2400" i="28"/>
  <c r="A2399" i="28"/>
  <c r="A2398" i="28"/>
  <c r="A2397" i="28"/>
  <c r="A2396" i="28"/>
  <c r="A2395" i="28"/>
  <c r="A2394" i="28"/>
  <c r="A2393" i="28"/>
  <c r="A2392" i="28"/>
  <c r="A2391" i="28"/>
  <c r="A2390" i="28"/>
  <c r="A2389" i="28"/>
  <c r="A2388" i="28"/>
  <c r="A2387" i="28"/>
  <c r="A2386" i="28"/>
  <c r="A2385" i="28"/>
  <c r="A2384" i="28"/>
  <c r="A2383" i="28"/>
  <c r="A2382" i="28"/>
  <c r="A2381" i="28"/>
  <c r="A2380" i="28"/>
  <c r="A2379" i="28"/>
  <c r="A2378" i="28"/>
  <c r="A2377" i="28"/>
  <c r="A2376" i="28"/>
  <c r="A2375" i="28"/>
  <c r="A2374" i="28"/>
  <c r="A2373" i="28"/>
  <c r="A2372" i="28"/>
  <c r="A2371" i="28"/>
  <c r="A2370" i="28"/>
  <c r="A2369" i="28"/>
  <c r="A2368" i="28"/>
  <c r="A2367" i="28"/>
  <c r="A2366" i="28"/>
  <c r="A2365" i="28"/>
  <c r="A2364" i="28"/>
  <c r="A2363" i="28"/>
  <c r="A2362" i="28"/>
  <c r="A2361" i="28"/>
  <c r="A2360" i="28"/>
  <c r="A2359" i="28"/>
  <c r="A2358" i="28"/>
  <c r="A2357" i="28"/>
  <c r="A2356" i="28"/>
  <c r="A2355" i="28"/>
  <c r="A2354" i="28"/>
  <c r="A2353" i="28"/>
  <c r="A2352" i="28"/>
  <c r="A2351" i="28"/>
  <c r="A2350" i="28"/>
  <c r="A2349" i="28"/>
  <c r="A2348" i="28"/>
  <c r="A2347" i="28"/>
  <c r="A2346" i="28"/>
  <c r="A2345" i="28"/>
  <c r="A2344" i="28"/>
  <c r="A2343" i="28"/>
  <c r="A2342" i="28"/>
  <c r="A2341" i="28"/>
  <c r="A2340" i="28"/>
  <c r="A2339" i="28"/>
  <c r="A2338" i="28"/>
  <c r="A2337" i="28"/>
  <c r="A2336" i="28"/>
  <c r="A2335" i="28"/>
  <c r="A2334" i="28"/>
  <c r="A2333" i="28"/>
  <c r="A2332" i="28"/>
  <c r="A2331" i="28"/>
  <c r="A2330" i="28"/>
  <c r="A2329" i="28"/>
  <c r="A2328" i="28"/>
  <c r="A2327" i="28"/>
  <c r="A2326" i="28"/>
  <c r="A2325" i="28"/>
  <c r="A2324" i="28"/>
  <c r="A2323" i="28"/>
  <c r="A2322" i="28"/>
  <c r="A2321" i="28"/>
  <c r="A2320" i="28"/>
  <c r="A2319" i="28"/>
  <c r="A2318" i="28"/>
  <c r="A2317" i="28"/>
  <c r="A2316" i="28"/>
  <c r="A2315" i="28"/>
  <c r="A2314" i="28"/>
  <c r="A2313" i="28"/>
  <c r="A2312" i="28"/>
  <c r="A2311" i="28"/>
  <c r="A2310" i="28"/>
  <c r="A2309" i="28"/>
  <c r="A2308" i="28"/>
  <c r="A2307" i="28"/>
  <c r="A2306" i="28"/>
  <c r="A2305" i="28"/>
  <c r="A2304" i="28"/>
  <c r="A2303" i="28"/>
  <c r="A2302" i="28"/>
  <c r="A2301" i="28"/>
  <c r="A2300" i="28"/>
  <c r="A2299" i="28"/>
  <c r="A2298" i="28"/>
  <c r="A2297" i="28"/>
  <c r="A2296" i="28"/>
  <c r="A2295" i="28"/>
  <c r="A2292" i="28"/>
  <c r="A2291" i="28"/>
  <c r="A2290" i="28"/>
  <c r="A2289" i="28"/>
  <c r="A2288" i="28"/>
  <c r="A2287" i="28"/>
  <c r="A2286" i="28"/>
  <c r="A2285" i="28"/>
  <c r="A2284" i="28"/>
  <c r="A2283" i="28"/>
  <c r="A2282" i="28"/>
  <c r="A2281" i="28"/>
  <c r="A2280" i="28"/>
  <c r="A2279" i="28"/>
  <c r="A2278" i="28"/>
  <c r="A2277" i="28"/>
  <c r="A2276" i="28"/>
  <c r="A2275" i="28"/>
  <c r="A2274" i="28"/>
  <c r="A2273" i="28"/>
  <c r="A2272" i="28"/>
  <c r="A2271" i="28"/>
  <c r="A2270" i="28"/>
  <c r="A2269" i="28"/>
  <c r="A2268" i="28"/>
  <c r="A2267" i="28"/>
  <c r="A2266" i="28"/>
  <c r="A2265" i="28"/>
  <c r="A2264" i="28"/>
  <c r="A2263" i="28"/>
  <c r="A2262" i="28"/>
  <c r="A2261" i="28"/>
  <c r="A2260" i="28"/>
  <c r="A2259" i="28"/>
  <c r="A2258" i="28"/>
  <c r="A2257" i="28"/>
  <c r="A2256" i="28"/>
  <c r="A2255" i="28"/>
  <c r="A2254" i="28"/>
  <c r="A2253" i="28"/>
  <c r="A2252" i="28"/>
  <c r="A2251" i="28"/>
  <c r="A2250" i="28"/>
  <c r="A2249" i="28"/>
  <c r="A2248" i="28"/>
  <c r="A2247" i="28"/>
  <c r="A2246" i="28"/>
  <c r="A2245" i="28"/>
  <c r="A2244" i="28"/>
  <c r="A2243" i="28"/>
  <c r="A2242" i="28"/>
  <c r="A2241" i="28"/>
  <c r="A2240" i="28"/>
  <c r="A2239" i="28"/>
  <c r="A2238" i="28"/>
  <c r="A2237" i="28"/>
  <c r="A2236" i="28"/>
  <c r="A2235" i="28"/>
  <c r="A2234" i="28"/>
  <c r="A2233" i="28"/>
  <c r="A2232" i="28"/>
  <c r="A2231" i="28"/>
  <c r="A2230" i="28"/>
  <c r="A2229" i="28"/>
  <c r="A2228" i="28"/>
  <c r="A2227" i="28"/>
  <c r="A2226" i="28"/>
  <c r="A2225" i="28"/>
  <c r="A2224" i="28"/>
  <c r="A2223" i="28"/>
  <c r="A2222" i="28"/>
  <c r="A2221" i="28"/>
  <c r="A2220" i="28"/>
  <c r="A2219" i="28"/>
  <c r="A2218" i="28"/>
  <c r="A2217" i="28"/>
  <c r="A2216" i="28"/>
  <c r="A2215" i="28"/>
  <c r="A2214" i="28"/>
  <c r="A2213" i="28"/>
  <c r="A2212" i="28"/>
  <c r="A2211" i="28"/>
  <c r="A2210" i="28"/>
  <c r="A2209" i="28"/>
  <c r="A2208" i="28"/>
  <c r="A2207" i="28"/>
  <c r="A2206" i="28"/>
  <c r="A2205" i="28"/>
  <c r="A2204" i="28"/>
  <c r="A2203" i="28"/>
  <c r="A2202" i="28"/>
  <c r="A2201" i="28"/>
  <c r="A2200" i="28"/>
  <c r="A2199" i="28"/>
  <c r="A2198" i="28"/>
  <c r="A2197" i="28"/>
  <c r="A2196" i="28"/>
  <c r="A2195" i="28"/>
  <c r="A2194" i="28"/>
  <c r="A2193" i="28"/>
  <c r="A2192" i="28"/>
  <c r="A2191" i="28"/>
  <c r="A2190" i="28"/>
  <c r="A2189" i="28"/>
  <c r="A2188" i="28"/>
  <c r="A2187" i="28"/>
  <c r="A2186" i="28"/>
  <c r="A2185" i="28"/>
  <c r="A2184" i="28"/>
  <c r="A2183" i="28"/>
  <c r="A2182" i="28"/>
  <c r="A2181" i="28"/>
  <c r="A2180" i="28"/>
  <c r="A2179" i="28"/>
  <c r="A2178" i="28"/>
  <c r="A2177" i="28"/>
  <c r="A2176" i="28"/>
  <c r="A2175" i="28"/>
  <c r="A2174" i="28"/>
  <c r="A2173" i="28"/>
  <c r="A2172" i="28"/>
  <c r="A2171" i="28"/>
  <c r="A2170" i="28"/>
  <c r="A2169" i="28"/>
  <c r="A2168" i="28"/>
  <c r="A2167" i="28"/>
  <c r="A2166" i="28"/>
  <c r="A2165" i="28"/>
  <c r="A2164" i="28"/>
  <c r="A2163" i="28"/>
  <c r="A2162" i="28"/>
  <c r="A2161" i="28"/>
  <c r="A2160" i="28"/>
  <c r="A2159" i="28"/>
  <c r="A2158" i="28"/>
  <c r="A2157" i="28"/>
  <c r="A2156" i="28"/>
  <c r="A2155" i="28"/>
  <c r="A2154" i="28"/>
  <c r="A2153" i="28"/>
  <c r="A2152" i="28"/>
  <c r="A2151" i="28"/>
  <c r="A2150" i="28"/>
  <c r="A2149" i="28"/>
  <c r="A2148" i="28"/>
  <c r="A2147" i="28"/>
  <c r="A2146" i="28"/>
  <c r="A2145" i="28"/>
  <c r="A2144" i="28"/>
  <c r="A2143" i="28"/>
  <c r="A2142" i="28"/>
  <c r="A2141" i="28"/>
  <c r="A2140" i="28"/>
  <c r="A2139" i="28"/>
  <c r="A2138" i="28"/>
  <c r="A2137" i="28"/>
  <c r="A2136" i="28"/>
  <c r="A2135" i="28"/>
  <c r="A2134" i="28"/>
  <c r="A2133" i="28"/>
  <c r="A2132" i="28"/>
  <c r="A2131" i="28"/>
  <c r="A2130" i="28"/>
  <c r="A2129" i="28"/>
  <c r="A2128" i="28"/>
  <c r="A2127" i="28"/>
  <c r="A2126" i="28"/>
  <c r="A2125" i="28"/>
  <c r="A2124" i="28"/>
  <c r="A2123" i="28"/>
  <c r="A2122" i="28"/>
  <c r="A2121" i="28"/>
  <c r="A2120" i="28"/>
  <c r="A2119" i="28"/>
  <c r="A2118" i="28"/>
  <c r="A2117" i="28"/>
  <c r="A2116" i="28"/>
  <c r="A2115" i="28"/>
  <c r="A2114" i="28"/>
  <c r="A2113" i="28"/>
  <c r="A2112" i="28"/>
  <c r="A2111" i="28"/>
  <c r="A2110" i="28"/>
  <c r="A2109" i="28"/>
  <c r="A2108" i="28"/>
  <c r="A2107" i="28"/>
  <c r="A2106" i="28"/>
  <c r="A2105" i="28"/>
  <c r="A2104" i="28"/>
  <c r="A2103" i="28"/>
  <c r="A2102" i="28"/>
  <c r="A2101" i="28"/>
  <c r="A2100" i="28"/>
  <c r="A2099" i="28"/>
  <c r="A2098" i="28"/>
  <c r="A2097" i="28"/>
  <c r="A2096" i="28"/>
  <c r="A2095" i="28"/>
  <c r="A2094" i="28"/>
  <c r="A2093" i="28"/>
  <c r="A2092" i="28"/>
  <c r="A2091" i="28"/>
  <c r="A2090" i="28"/>
  <c r="A2089" i="28"/>
  <c r="A2088" i="28"/>
  <c r="A2087" i="28"/>
  <c r="A2086" i="28"/>
  <c r="A2085" i="28"/>
  <c r="A2084" i="28"/>
  <c r="A2083" i="28"/>
  <c r="A2082" i="28"/>
  <c r="A2081" i="28"/>
  <c r="A2080" i="28"/>
  <c r="A2079" i="28"/>
  <c r="A2078" i="28"/>
  <c r="A2077" i="28"/>
  <c r="A2076" i="28"/>
  <c r="A2075" i="28"/>
  <c r="A2074" i="28"/>
  <c r="A2073" i="28"/>
  <c r="A2072" i="28"/>
  <c r="A2071" i="28"/>
  <c r="A2070" i="28"/>
  <c r="A2069" i="28"/>
  <c r="A2068" i="28"/>
  <c r="A2067" i="28"/>
  <c r="A2066" i="28"/>
  <c r="A2065" i="28"/>
  <c r="A2064" i="28"/>
  <c r="A2063" i="28"/>
  <c r="A2062" i="28"/>
  <c r="A2061" i="28"/>
  <c r="A2060" i="28"/>
  <c r="A2059" i="28"/>
  <c r="A2058" i="28"/>
  <c r="A2057" i="28"/>
  <c r="A2056" i="28"/>
  <c r="A2055" i="28"/>
  <c r="A2054" i="28"/>
  <c r="A2053" i="28"/>
  <c r="A2052" i="28"/>
  <c r="A2051" i="28"/>
  <c r="A2050" i="28"/>
  <c r="A2049" i="28"/>
  <c r="A2048" i="28"/>
  <c r="A2047" i="28"/>
  <c r="A2046" i="28"/>
  <c r="A2045" i="28"/>
  <c r="A2044" i="28"/>
  <c r="A2043" i="28"/>
  <c r="A2042" i="28"/>
  <c r="A2041" i="28"/>
  <c r="A2040" i="28"/>
  <c r="A2039" i="28"/>
  <c r="A2038" i="28"/>
  <c r="A2037" i="28"/>
  <c r="A2036" i="28"/>
  <c r="A2035" i="28"/>
  <c r="A2034" i="28"/>
  <c r="A2033" i="28"/>
  <c r="A2032" i="28"/>
  <c r="A2031" i="28"/>
  <c r="A2030" i="28"/>
  <c r="A2029" i="28"/>
  <c r="A2028" i="28"/>
  <c r="A2027" i="28"/>
  <c r="A2026" i="28"/>
  <c r="A2025" i="28"/>
  <c r="A2024" i="28"/>
  <c r="A2023" i="28"/>
  <c r="A2022" i="28"/>
  <c r="A2021" i="28"/>
  <c r="A2020" i="28"/>
  <c r="A2019" i="28"/>
  <c r="A2018" i="28"/>
  <c r="A2017" i="28"/>
  <c r="A2016" i="28"/>
  <c r="A2015" i="28"/>
  <c r="A2014" i="28"/>
  <c r="A2013" i="28"/>
  <c r="A2012" i="28"/>
  <c r="A2011" i="28"/>
  <c r="A2010" i="28"/>
  <c r="A2009" i="28"/>
  <c r="A2008" i="28"/>
  <c r="A2007" i="28"/>
  <c r="A2006" i="28"/>
  <c r="A2005" i="28"/>
  <c r="A2004" i="28"/>
  <c r="A2003" i="28"/>
  <c r="A2002" i="28"/>
  <c r="A2001" i="28"/>
  <c r="A2000" i="28"/>
  <c r="A1999" i="28"/>
  <c r="A1998" i="28"/>
  <c r="A1997" i="28"/>
  <c r="A1996" i="28"/>
  <c r="A1995" i="28"/>
  <c r="A1994" i="28"/>
  <c r="A1993" i="28"/>
  <c r="A1992" i="28"/>
  <c r="A1991" i="28"/>
  <c r="A1990" i="28"/>
  <c r="A1989" i="28"/>
  <c r="A1988" i="28"/>
  <c r="A1987" i="28"/>
  <c r="A1986" i="28"/>
  <c r="A1985" i="28"/>
  <c r="A1984" i="28"/>
  <c r="A1983" i="28"/>
  <c r="A1982" i="28"/>
  <c r="A1981" i="28"/>
  <c r="A1980" i="28"/>
  <c r="A1979" i="28"/>
  <c r="A1978" i="28"/>
  <c r="A1977" i="28"/>
  <c r="A1976" i="28"/>
  <c r="A1975" i="28"/>
  <c r="A1974" i="28"/>
  <c r="A1973" i="28"/>
  <c r="A1972" i="28"/>
  <c r="A1971" i="28"/>
  <c r="A1970" i="28"/>
  <c r="A1969" i="28"/>
  <c r="A1968" i="28"/>
  <c r="A1967" i="28"/>
  <c r="A1966" i="28"/>
  <c r="A1965" i="28"/>
  <c r="A1964" i="28"/>
  <c r="A1963" i="28"/>
  <c r="A1962" i="28"/>
  <c r="A1961" i="28"/>
  <c r="A1960" i="28"/>
  <c r="A1959" i="28"/>
  <c r="A1958" i="28"/>
  <c r="A1957" i="28"/>
  <c r="A1956" i="28"/>
  <c r="A1955" i="28"/>
  <c r="A1954" i="28"/>
  <c r="A1953" i="28"/>
  <c r="A1952" i="28"/>
  <c r="A1951" i="28"/>
  <c r="A1950" i="28"/>
  <c r="A1949" i="28"/>
  <c r="A1948" i="28"/>
  <c r="A1947" i="28"/>
  <c r="A1946" i="28"/>
  <c r="A1945" i="28"/>
  <c r="A1944" i="28"/>
  <c r="A1943" i="28"/>
  <c r="A1942" i="28"/>
  <c r="A1941" i="28"/>
  <c r="A1940" i="28"/>
  <c r="A1939" i="28"/>
  <c r="A1938" i="28"/>
  <c r="A1937" i="28"/>
  <c r="A1936" i="28"/>
  <c r="A1935" i="28"/>
  <c r="A1934" i="28"/>
  <c r="A1933" i="28"/>
  <c r="A1932" i="28"/>
  <c r="A1931" i="28"/>
  <c r="A1930" i="28"/>
  <c r="A1929" i="28"/>
  <c r="A1928" i="28"/>
  <c r="A1927" i="28"/>
  <c r="A1926" i="28"/>
  <c r="A1925" i="28"/>
  <c r="A1924" i="28"/>
  <c r="A1923" i="28"/>
  <c r="A1922" i="28"/>
  <c r="A1921" i="28"/>
  <c r="A1920" i="28"/>
  <c r="A1919" i="28"/>
  <c r="A1918" i="28"/>
  <c r="A1917" i="28"/>
  <c r="A1916" i="28"/>
  <c r="A1915" i="28"/>
  <c r="A1914" i="28"/>
  <c r="A1913" i="28"/>
  <c r="A1912" i="28"/>
  <c r="A1911" i="28"/>
  <c r="A1910" i="28"/>
  <c r="A1909" i="28"/>
  <c r="A1908" i="28"/>
  <c r="A1907" i="28"/>
  <c r="A1906" i="28"/>
  <c r="A1905" i="28"/>
  <c r="A1904" i="28"/>
  <c r="A1903" i="28"/>
  <c r="A1902" i="28"/>
  <c r="A1901" i="28"/>
  <c r="A1900" i="28"/>
  <c r="A1899" i="28"/>
  <c r="A1898" i="28"/>
  <c r="A1897" i="28"/>
  <c r="A1896" i="28"/>
  <c r="A1895" i="28"/>
  <c r="A1894" i="28"/>
  <c r="A1893" i="28"/>
  <c r="A1892" i="28"/>
  <c r="A1891" i="28"/>
  <c r="A1890" i="28"/>
  <c r="A1889" i="28"/>
  <c r="A1888" i="28"/>
  <c r="A1887" i="28"/>
  <c r="A1886" i="28"/>
  <c r="A1885" i="28"/>
  <c r="A1884" i="28"/>
  <c r="A1883" i="28"/>
  <c r="A1882" i="28"/>
  <c r="A1881" i="28"/>
  <c r="A1880" i="28"/>
  <c r="A1879" i="28"/>
  <c r="A1878" i="28"/>
  <c r="A1877" i="28"/>
  <c r="A1876" i="28"/>
  <c r="A1875" i="28"/>
  <c r="A1874" i="28"/>
  <c r="A1873" i="28"/>
  <c r="A1872" i="28"/>
  <c r="A1871" i="28"/>
  <c r="A1870" i="28"/>
  <c r="A1869" i="28"/>
  <c r="A1868" i="28"/>
  <c r="A1867" i="28"/>
  <c r="A1866" i="28"/>
  <c r="A1865" i="28"/>
  <c r="A1864" i="28"/>
  <c r="A1863" i="28"/>
  <c r="A1862" i="28"/>
  <c r="A1861" i="28"/>
  <c r="A1860" i="28"/>
  <c r="A1859" i="28"/>
  <c r="A1858" i="28"/>
  <c r="A1857" i="28"/>
  <c r="A1856" i="28"/>
  <c r="A1855" i="28"/>
  <c r="A1854" i="28"/>
  <c r="A1853" i="28"/>
  <c r="A1852" i="28"/>
  <c r="A1851" i="28"/>
  <c r="A1850" i="28"/>
  <c r="A1849" i="28"/>
  <c r="A1848" i="28"/>
  <c r="A1847" i="28"/>
  <c r="A1846" i="28"/>
  <c r="A1845" i="28"/>
  <c r="A1844" i="28"/>
  <c r="A1843" i="28"/>
  <c r="A1842" i="28"/>
  <c r="A1841" i="28"/>
  <c r="A1840" i="28"/>
  <c r="A1839" i="28"/>
  <c r="A1838" i="28"/>
  <c r="A1837" i="28"/>
  <c r="A1836" i="28"/>
  <c r="A1835" i="28"/>
  <c r="A1834" i="28"/>
  <c r="A1833" i="28"/>
  <c r="A1832" i="28"/>
  <c r="A1831" i="28"/>
  <c r="A1830" i="28"/>
  <c r="A1829" i="28"/>
  <c r="A1828" i="28"/>
  <c r="A1827" i="28"/>
  <c r="A1826" i="28"/>
  <c r="A1825" i="28"/>
  <c r="A1824" i="28"/>
  <c r="A1823" i="28"/>
  <c r="A1822" i="28"/>
  <c r="A1821" i="28"/>
  <c r="A1820" i="28"/>
  <c r="A1819" i="28"/>
  <c r="A1818" i="28"/>
  <c r="A1817" i="28"/>
  <c r="A1816" i="28"/>
  <c r="A1815" i="28"/>
  <c r="A1814" i="28"/>
  <c r="A1813" i="28"/>
  <c r="A1812" i="28"/>
  <c r="A1811" i="28"/>
  <c r="A1810" i="28"/>
  <c r="A1809" i="28"/>
  <c r="A1808" i="28"/>
  <c r="A1807" i="28"/>
  <c r="A1806" i="28"/>
  <c r="A1805" i="28"/>
  <c r="A1804" i="28"/>
  <c r="A1803" i="28"/>
  <c r="A1802" i="28"/>
  <c r="A1801" i="28"/>
  <c r="A1800" i="28"/>
  <c r="A1799" i="28"/>
  <c r="A1798" i="28"/>
  <c r="A1797" i="28"/>
  <c r="A1796" i="28"/>
  <c r="A1795" i="28"/>
  <c r="A1794" i="28"/>
  <c r="A1793" i="28"/>
  <c r="A1792" i="28"/>
  <c r="A1791" i="28"/>
  <c r="A1790" i="28"/>
  <c r="A1789" i="28"/>
  <c r="A1788" i="28"/>
  <c r="A1787" i="28"/>
  <c r="A1786" i="28"/>
  <c r="A1785" i="28"/>
  <c r="A1784" i="28"/>
  <c r="A1783" i="28"/>
  <c r="A1782" i="28"/>
  <c r="A1781" i="28"/>
  <c r="A1780" i="28"/>
  <c r="A1779" i="28"/>
  <c r="A1778" i="28"/>
  <c r="A1777" i="28"/>
  <c r="A1776" i="28"/>
  <c r="A1775" i="28"/>
  <c r="A1774" i="28"/>
  <c r="A1773" i="28"/>
  <c r="A1772" i="28"/>
  <c r="A1771" i="28"/>
  <c r="A1770" i="28"/>
  <c r="A1769" i="28"/>
  <c r="A1768" i="28"/>
  <c r="A1767" i="28"/>
  <c r="A1766" i="28"/>
  <c r="A1765" i="28"/>
  <c r="A1764" i="28"/>
  <c r="A1763" i="28"/>
  <c r="A1762" i="28"/>
  <c r="A1761" i="28"/>
  <c r="A1760" i="28"/>
  <c r="A1759" i="28"/>
  <c r="A1758" i="28"/>
  <c r="A1757" i="28"/>
  <c r="A1756" i="28"/>
  <c r="A1755" i="28"/>
  <c r="A1754" i="28"/>
  <c r="A1753" i="28"/>
  <c r="A1752" i="28"/>
  <c r="A1751" i="28"/>
  <c r="A1750" i="28"/>
  <c r="A1749" i="28"/>
  <c r="A1748" i="28"/>
  <c r="A1747" i="28"/>
  <c r="A1746" i="28"/>
  <c r="A1745" i="28"/>
  <c r="A1744" i="28"/>
  <c r="A1743" i="28"/>
  <c r="A1742" i="28"/>
  <c r="A1741" i="28"/>
  <c r="A1740" i="28"/>
  <c r="A1739" i="28"/>
  <c r="A1738" i="28"/>
  <c r="A1737" i="28"/>
  <c r="A1736" i="28"/>
  <c r="A1735" i="28"/>
  <c r="A1734" i="28"/>
  <c r="A1733" i="28"/>
  <c r="A1732" i="28"/>
  <c r="A1731" i="28"/>
  <c r="A1730" i="28"/>
  <c r="A1729" i="28"/>
  <c r="A1728" i="28"/>
  <c r="A1727" i="28"/>
  <c r="A1726" i="28"/>
  <c r="A1725" i="28"/>
  <c r="A1724" i="28"/>
  <c r="A1723" i="28"/>
  <c r="A1722" i="28"/>
  <c r="A1721" i="28"/>
  <c r="A1720" i="28"/>
  <c r="A1719" i="28"/>
  <c r="A1718" i="28"/>
  <c r="A1717" i="28"/>
  <c r="A1716" i="28"/>
  <c r="A1715" i="28"/>
  <c r="A1714" i="28"/>
  <c r="A1713" i="28"/>
  <c r="A1712" i="28"/>
  <c r="A1711" i="28"/>
  <c r="A1710" i="28"/>
  <c r="A1709" i="28"/>
  <c r="A1708" i="28"/>
  <c r="A1707" i="28"/>
  <c r="A1706" i="28"/>
  <c r="A1705" i="28"/>
  <c r="A1704" i="28"/>
  <c r="A1703" i="28"/>
  <c r="A1702" i="28"/>
  <c r="A1701" i="28"/>
  <c r="A1700" i="28"/>
  <c r="A1699" i="28"/>
  <c r="A1698" i="28"/>
  <c r="A1697" i="28"/>
  <c r="A1696" i="28"/>
  <c r="A1695" i="28"/>
  <c r="A1694" i="28"/>
  <c r="A1693" i="28"/>
  <c r="A1692" i="28"/>
  <c r="A1691" i="28"/>
  <c r="A1690" i="28"/>
  <c r="A1689" i="28"/>
  <c r="A1688" i="28"/>
  <c r="A1687" i="28"/>
  <c r="A1686" i="28"/>
  <c r="A1685" i="28"/>
  <c r="A1684" i="28"/>
  <c r="A1683" i="28"/>
  <c r="A1682" i="28"/>
  <c r="A1681" i="28"/>
  <c r="A1680" i="28"/>
  <c r="A1679" i="28"/>
  <c r="A1678" i="28"/>
  <c r="A1677" i="28"/>
  <c r="A1676" i="28"/>
  <c r="A1675" i="28"/>
  <c r="A1674" i="28"/>
  <c r="A1673" i="28"/>
  <c r="A1672" i="28"/>
  <c r="A1671" i="28"/>
  <c r="A1670" i="28"/>
  <c r="A1669" i="28"/>
  <c r="A1668" i="28"/>
  <c r="A1667" i="28"/>
  <c r="A1666" i="28"/>
  <c r="A1665" i="28"/>
  <c r="A1664" i="28"/>
  <c r="A1663" i="28"/>
  <c r="A1662" i="28"/>
  <c r="A1661" i="28"/>
  <c r="A1660" i="28"/>
  <c r="A1659" i="28"/>
  <c r="A1658" i="28"/>
  <c r="A1657" i="28"/>
  <c r="A1656" i="28"/>
  <c r="A1655" i="28"/>
  <c r="A1654" i="28"/>
  <c r="A1653" i="28"/>
  <c r="A1652" i="28"/>
  <c r="A1651" i="28"/>
  <c r="A1650" i="28"/>
  <c r="A1649" i="28"/>
  <c r="A1648" i="28"/>
  <c r="A1647" i="28"/>
  <c r="A1646" i="28"/>
  <c r="A1645" i="28"/>
  <c r="A1644" i="28"/>
  <c r="A1643" i="28"/>
  <c r="A1642" i="28"/>
  <c r="A1641" i="28"/>
  <c r="A1640" i="28"/>
  <c r="A1639" i="28"/>
  <c r="A1638" i="28"/>
  <c r="A1637" i="28"/>
  <c r="A1636" i="28"/>
  <c r="A1635" i="28"/>
  <c r="A1634" i="28"/>
  <c r="A1633" i="28"/>
  <c r="A1632" i="28"/>
  <c r="A1631" i="28"/>
  <c r="A1630" i="28"/>
  <c r="A1629" i="28"/>
  <c r="A1628" i="28"/>
  <c r="A1627" i="28"/>
  <c r="A1626" i="28"/>
  <c r="A1625" i="28"/>
  <c r="A1624" i="28"/>
  <c r="A1623" i="28"/>
  <c r="A1622" i="28"/>
  <c r="A1621" i="28"/>
  <c r="A1620" i="28"/>
  <c r="A1619" i="28"/>
  <c r="A1618" i="28"/>
  <c r="A1617" i="28"/>
  <c r="A1616" i="28"/>
  <c r="A1615" i="28"/>
  <c r="A1614" i="28"/>
  <c r="A1613" i="28"/>
  <c r="A1612" i="28"/>
  <c r="A1611" i="28"/>
  <c r="A1610" i="28"/>
  <c r="A1609" i="28"/>
  <c r="A1608" i="28"/>
  <c r="A1607" i="28"/>
  <c r="A1606" i="28"/>
  <c r="A1605" i="28"/>
  <c r="A1604" i="28"/>
  <c r="A1603" i="28"/>
  <c r="A1602" i="28"/>
  <c r="A1601" i="28"/>
  <c r="A1600" i="28"/>
  <c r="A1599" i="28"/>
  <c r="A1598" i="28"/>
  <c r="A1597" i="28"/>
  <c r="A1596" i="28"/>
  <c r="A1595" i="28"/>
  <c r="A1594" i="28"/>
  <c r="A1593" i="28"/>
  <c r="A1592" i="28"/>
  <c r="A1591" i="28"/>
  <c r="A1590" i="28"/>
  <c r="A1589" i="28"/>
  <c r="A1588" i="28"/>
  <c r="A1587" i="28"/>
  <c r="A1586" i="28"/>
  <c r="A1585" i="28"/>
  <c r="A1584" i="28"/>
  <c r="A1583" i="28"/>
  <c r="A1582" i="28"/>
  <c r="A1581" i="28"/>
  <c r="A1580" i="28"/>
  <c r="A1579" i="28"/>
  <c r="A1578" i="28"/>
  <c r="A1577" i="28"/>
  <c r="A1576" i="28"/>
  <c r="A1575" i="28"/>
  <c r="A1574" i="28"/>
  <c r="A1573" i="28"/>
  <c r="A1572" i="28"/>
  <c r="A1571" i="28"/>
  <c r="A1570" i="28"/>
  <c r="A1569" i="28"/>
  <c r="A1568" i="28"/>
  <c r="A1567" i="28"/>
  <c r="A1566" i="28"/>
  <c r="A1565" i="28"/>
  <c r="A1564" i="28"/>
  <c r="A1563" i="28"/>
  <c r="A1562" i="28"/>
  <c r="A1561" i="28"/>
  <c r="A1560" i="28"/>
  <c r="A1559" i="28"/>
  <c r="A1558" i="28"/>
  <c r="A1557" i="28"/>
  <c r="A1556" i="28"/>
  <c r="A1555" i="28"/>
  <c r="A1554" i="28"/>
  <c r="A1553" i="28"/>
  <c r="A1552" i="28"/>
  <c r="A1551" i="28"/>
  <c r="A1550" i="28"/>
  <c r="A1549" i="28"/>
  <c r="A1548" i="28"/>
  <c r="A1547" i="28"/>
  <c r="A1546" i="28"/>
  <c r="A1545" i="28"/>
  <c r="A1544" i="28"/>
  <c r="A1543" i="28"/>
  <c r="A1542" i="28"/>
  <c r="A1541" i="28"/>
  <c r="A1540" i="28"/>
  <c r="A1539" i="28"/>
  <c r="A1538" i="28"/>
  <c r="A1537" i="28"/>
  <c r="A1536" i="28"/>
  <c r="A1535" i="28"/>
  <c r="A1534" i="28"/>
  <c r="A1533" i="28"/>
  <c r="A1532" i="28"/>
  <c r="A1531" i="28"/>
  <c r="A1530" i="28"/>
  <c r="A1529" i="28"/>
  <c r="A1528" i="28"/>
  <c r="A1527" i="28"/>
  <c r="A1526" i="28"/>
  <c r="A1525" i="28"/>
  <c r="A1524" i="28"/>
  <c r="A1523" i="28"/>
  <c r="A1522" i="28"/>
  <c r="A1521" i="28"/>
  <c r="A1520" i="28"/>
  <c r="A1519" i="28"/>
  <c r="A1518" i="28"/>
  <c r="A1517" i="28"/>
  <c r="A1516" i="28"/>
  <c r="A1515" i="28"/>
  <c r="A1514" i="28"/>
  <c r="A1513" i="28"/>
  <c r="A1512" i="28"/>
  <c r="A1511" i="28"/>
  <c r="A1510" i="28"/>
  <c r="A1509" i="28"/>
  <c r="A1508" i="28"/>
  <c r="A1507" i="28"/>
  <c r="A1506" i="28"/>
  <c r="A1505" i="28"/>
  <c r="A1504" i="28"/>
  <c r="A1503" i="28"/>
  <c r="A1502" i="28"/>
  <c r="A1501" i="28"/>
  <c r="A1500" i="28"/>
  <c r="A1499" i="28"/>
  <c r="A1498" i="28"/>
  <c r="A1497" i="28"/>
  <c r="A1496" i="28"/>
  <c r="A1495" i="28"/>
  <c r="A1494" i="28"/>
  <c r="A1493" i="28"/>
  <c r="A1492" i="28"/>
  <c r="A1491" i="28"/>
  <c r="A1490" i="28"/>
  <c r="A1489" i="28"/>
  <c r="A1488" i="28"/>
  <c r="A1487" i="28"/>
  <c r="A1486" i="28"/>
  <c r="A1485" i="28"/>
  <c r="A1484" i="28"/>
  <c r="A1483" i="28"/>
  <c r="A1482" i="28"/>
  <c r="A1481" i="28"/>
  <c r="A1480" i="28"/>
  <c r="A1479" i="28"/>
  <c r="A1478" i="28"/>
  <c r="A1477" i="28"/>
  <c r="A1476" i="28"/>
  <c r="A1475" i="28"/>
  <c r="A1474" i="28"/>
  <c r="A1473" i="28"/>
  <c r="A1472" i="28"/>
  <c r="A1471" i="28"/>
  <c r="A1470" i="28"/>
  <c r="A1469" i="28"/>
  <c r="A1468" i="28"/>
  <c r="A1467" i="28"/>
  <c r="A1466" i="28"/>
  <c r="A1465" i="28"/>
  <c r="A1464" i="28"/>
  <c r="A1463" i="28"/>
  <c r="A1462" i="28"/>
  <c r="A1461" i="28"/>
  <c r="A1460" i="28"/>
  <c r="A1459" i="28"/>
  <c r="A1458" i="28"/>
  <c r="A1457" i="28"/>
  <c r="A1456" i="28"/>
  <c r="A1455" i="28"/>
  <c r="A1454" i="28"/>
  <c r="A1453" i="28"/>
  <c r="A1452" i="28"/>
  <c r="A1451" i="28"/>
  <c r="A1450" i="28"/>
  <c r="A1449" i="28"/>
  <c r="A1448" i="28"/>
  <c r="A1447" i="28"/>
  <c r="A1446" i="28"/>
  <c r="A1445" i="28"/>
  <c r="A1444" i="28"/>
  <c r="A1443" i="28"/>
  <c r="A1442" i="28"/>
  <c r="A1441" i="28"/>
  <c r="A1440" i="28"/>
  <c r="A1439" i="28"/>
  <c r="A1438" i="28"/>
  <c r="A1437" i="28"/>
  <c r="A1436" i="28"/>
  <c r="A1435" i="28"/>
  <c r="A1434" i="28"/>
  <c r="A1433" i="28"/>
  <c r="A1432" i="28"/>
  <c r="A1431" i="28"/>
  <c r="A1430" i="28"/>
  <c r="A1429" i="28"/>
  <c r="A1428" i="28"/>
  <c r="A1427" i="28"/>
  <c r="A1426" i="28"/>
  <c r="A1425" i="28"/>
  <c r="A1424" i="28"/>
  <c r="A1423" i="28"/>
  <c r="A1422" i="28"/>
  <c r="A1421" i="28"/>
  <c r="A1420" i="28"/>
  <c r="A1419" i="28"/>
  <c r="A1418" i="28"/>
  <c r="A1417" i="28"/>
  <c r="A1416" i="28"/>
  <c r="A1415" i="28"/>
  <c r="A1414" i="28"/>
  <c r="A1413" i="28"/>
  <c r="A1412" i="28"/>
  <c r="A1411" i="28"/>
  <c r="A1410" i="28"/>
  <c r="A1409" i="28"/>
  <c r="A1408" i="28"/>
  <c r="A1407" i="28"/>
  <c r="A1406" i="28"/>
  <c r="A1405" i="28"/>
  <c r="A1404" i="28"/>
  <c r="A1403" i="28"/>
  <c r="A1402" i="28"/>
  <c r="A1401" i="28"/>
  <c r="A1400" i="28"/>
  <c r="A1399" i="28"/>
  <c r="A1398" i="28"/>
  <c r="A1397" i="28"/>
  <c r="A1396" i="28"/>
  <c r="A1395" i="28"/>
  <c r="A1394" i="28"/>
  <c r="A1393" i="28"/>
  <c r="A1392" i="28"/>
  <c r="A1391" i="28"/>
  <c r="A1390" i="28"/>
  <c r="A1389" i="28"/>
  <c r="A1388" i="28"/>
  <c r="A1387" i="28"/>
  <c r="A1386" i="28"/>
  <c r="A1385" i="28"/>
  <c r="A1384" i="28"/>
  <c r="A1383" i="28"/>
  <c r="A1382" i="28"/>
  <c r="A1381" i="28"/>
  <c r="A1380" i="28"/>
  <c r="A1379" i="28"/>
  <c r="A1378" i="28"/>
  <c r="A1377" i="28"/>
  <c r="A1376" i="28"/>
  <c r="A1375" i="28"/>
  <c r="A1374" i="28"/>
  <c r="A1373" i="28"/>
  <c r="A1372" i="28"/>
  <c r="A1371" i="28"/>
  <c r="A1370" i="28"/>
  <c r="A1369" i="28"/>
  <c r="A1368" i="28"/>
  <c r="A1367" i="28"/>
  <c r="A1366" i="28"/>
  <c r="A1365" i="28"/>
  <c r="A1364" i="28"/>
  <c r="A1363" i="28"/>
  <c r="A1362" i="28"/>
  <c r="A1361" i="28"/>
  <c r="A1360" i="28"/>
  <c r="A1359" i="28"/>
  <c r="A1358" i="28"/>
  <c r="A1357" i="28"/>
  <c r="A1356" i="28"/>
  <c r="A1355" i="28"/>
  <c r="A1354" i="28"/>
  <c r="A1353" i="28"/>
  <c r="A1352" i="28"/>
  <c r="A1351" i="28"/>
  <c r="A1350" i="28"/>
  <c r="A1349" i="28"/>
  <c r="A1348" i="28"/>
  <c r="A1347" i="28"/>
  <c r="A1346" i="28"/>
  <c r="A1345" i="28"/>
  <c r="A1344" i="28"/>
  <c r="A1343" i="28"/>
  <c r="A1342" i="28"/>
  <c r="A1341" i="28"/>
  <c r="A1340" i="28"/>
  <c r="A1339" i="28"/>
  <c r="A1338" i="28"/>
  <c r="A1337" i="28"/>
  <c r="A1336" i="28"/>
  <c r="A1335" i="28"/>
  <c r="A1334" i="28"/>
  <c r="A1333" i="28"/>
  <c r="A1332" i="28"/>
  <c r="A1331" i="28"/>
  <c r="A1330" i="28"/>
  <c r="A1329" i="28"/>
  <c r="A1328" i="28"/>
  <c r="A1327" i="28"/>
  <c r="A1326" i="28"/>
  <c r="A1325" i="28"/>
  <c r="A1324" i="28"/>
  <c r="A1323" i="28"/>
  <c r="A1322" i="28"/>
  <c r="A1321" i="28"/>
  <c r="A1320" i="28"/>
  <c r="A1319" i="28"/>
  <c r="A1318" i="28"/>
  <c r="A1317" i="28"/>
  <c r="A1316" i="28"/>
  <c r="A1315" i="28"/>
  <c r="A1314" i="28"/>
  <c r="A1313" i="28"/>
  <c r="A1312" i="28"/>
  <c r="A1311" i="28"/>
  <c r="A1310" i="28"/>
  <c r="A1309" i="28"/>
  <c r="A1308" i="28"/>
  <c r="A1307" i="28"/>
  <c r="A1306" i="28"/>
  <c r="A1305" i="28"/>
  <c r="A1304" i="28"/>
  <c r="A1303" i="28"/>
  <c r="A1302" i="28"/>
  <c r="A1301" i="28"/>
  <c r="A1300" i="28"/>
  <c r="A1299" i="28"/>
  <c r="A1298" i="28"/>
  <c r="A1297" i="28"/>
  <c r="A1296" i="28"/>
  <c r="A1295" i="28"/>
  <c r="A1294" i="28"/>
  <c r="A1293" i="28"/>
  <c r="A1292" i="28"/>
  <c r="A1291" i="28"/>
  <c r="A1290" i="28"/>
  <c r="A1289" i="28"/>
  <c r="A1288" i="28"/>
  <c r="A1287" i="28"/>
  <c r="A1286" i="28"/>
  <c r="A1285" i="28"/>
  <c r="A1284" i="28"/>
  <c r="A1283" i="28"/>
  <c r="A1282" i="28"/>
  <c r="A1281" i="28"/>
  <c r="A1280" i="28"/>
  <c r="A1279" i="28"/>
  <c r="A1278" i="28"/>
  <c r="A1277" i="28"/>
  <c r="A1276" i="28"/>
  <c r="A1275" i="28"/>
  <c r="A1274" i="28"/>
  <c r="A1273" i="28"/>
  <c r="A1272" i="28"/>
  <c r="A1271" i="28"/>
  <c r="A1270" i="28"/>
  <c r="A1269" i="28"/>
  <c r="A1268" i="28"/>
  <c r="A1267" i="28"/>
  <c r="A1266" i="28"/>
  <c r="A1265" i="28"/>
  <c r="A1264" i="28"/>
  <c r="A1263" i="28"/>
  <c r="A1262" i="28"/>
  <c r="A1261" i="28"/>
  <c r="A1260" i="28"/>
  <c r="A1259" i="28"/>
  <c r="A1258" i="28"/>
  <c r="A1257" i="28"/>
  <c r="A1256" i="28"/>
  <c r="A1255" i="28"/>
  <c r="A1254" i="28"/>
  <c r="A1253" i="28"/>
  <c r="A1252" i="28"/>
  <c r="A1251" i="28"/>
  <c r="A1250" i="28"/>
  <c r="A1249" i="28"/>
  <c r="A1248" i="28"/>
  <c r="A1247" i="28"/>
  <c r="A1246" i="28"/>
  <c r="A1245" i="28"/>
  <c r="A1244" i="28"/>
  <c r="A1243" i="28"/>
  <c r="A1242" i="28"/>
  <c r="A1241" i="28"/>
  <c r="A1240" i="28"/>
  <c r="A1239" i="28"/>
  <c r="A1238" i="28"/>
  <c r="A1237" i="28"/>
  <c r="A1236" i="28"/>
  <c r="A1235" i="28"/>
  <c r="A1234" i="28"/>
  <c r="A1233" i="28"/>
  <c r="A1232" i="28"/>
  <c r="A1231" i="28"/>
  <c r="A1230" i="28"/>
  <c r="A1229" i="28"/>
  <c r="A1228" i="28"/>
  <c r="A1227" i="28"/>
  <c r="A1226" i="28"/>
  <c r="A1225" i="28"/>
  <c r="A1224" i="28"/>
  <c r="A1223" i="28"/>
  <c r="A1222" i="28"/>
  <c r="A1221" i="28"/>
  <c r="A1220" i="28"/>
  <c r="A1219" i="28"/>
  <c r="A1218" i="28"/>
  <c r="A1217" i="28"/>
  <c r="A1216" i="28"/>
  <c r="A1215" i="28"/>
  <c r="A1214" i="28"/>
  <c r="A1213" i="28"/>
  <c r="A1212" i="28"/>
  <c r="A1211" i="28"/>
  <c r="A1210" i="28"/>
  <c r="A1209" i="28"/>
  <c r="A1208" i="28"/>
  <c r="A1207" i="28"/>
  <c r="A1206" i="28"/>
  <c r="A1205" i="28"/>
  <c r="A1204" i="28"/>
  <c r="A1203" i="28"/>
  <c r="A1202" i="28"/>
  <c r="A1201" i="28"/>
  <c r="A1200" i="28"/>
  <c r="A1199" i="28"/>
  <c r="A1198" i="28"/>
  <c r="A1197" i="28"/>
  <c r="A1196" i="28"/>
  <c r="A1195" i="28"/>
  <c r="A1194" i="28"/>
  <c r="A1193" i="28"/>
  <c r="A1192" i="28"/>
  <c r="A1191" i="28"/>
  <c r="A1190" i="28"/>
  <c r="A1189" i="28"/>
  <c r="A1188" i="28"/>
  <c r="A1187" i="28"/>
  <c r="A1186" i="28"/>
  <c r="A1185" i="28"/>
  <c r="A1184" i="28"/>
  <c r="A1183" i="28"/>
  <c r="A1182" i="28"/>
  <c r="A1181" i="28"/>
  <c r="A1180" i="28"/>
  <c r="A1179" i="28"/>
  <c r="A1178" i="28"/>
  <c r="A1177" i="28"/>
  <c r="A1176" i="28"/>
  <c r="A1175" i="28"/>
  <c r="A1174" i="28"/>
  <c r="A1173" i="28"/>
  <c r="A1172" i="28"/>
  <c r="A1171" i="28"/>
  <c r="A1170" i="28"/>
  <c r="A1169" i="28"/>
  <c r="A1168" i="28"/>
  <c r="A1167" i="28"/>
  <c r="A1166" i="28"/>
  <c r="A1165" i="28"/>
  <c r="A1164" i="28"/>
  <c r="A1163" i="28"/>
  <c r="A1162" i="28"/>
  <c r="A1161" i="28"/>
  <c r="A1160" i="28"/>
  <c r="A1159" i="28"/>
  <c r="A1158" i="28"/>
  <c r="A1157" i="28"/>
  <c r="A1156" i="28"/>
  <c r="A1155" i="28"/>
  <c r="A1154" i="28"/>
  <c r="A1153" i="28"/>
  <c r="A1152" i="28"/>
  <c r="A1151" i="28"/>
  <c r="A1150" i="28"/>
  <c r="A1149" i="28"/>
  <c r="A1148" i="28"/>
  <c r="A1147" i="28"/>
  <c r="A1146" i="28"/>
  <c r="A1145" i="28"/>
  <c r="A1144" i="28"/>
  <c r="A1143" i="28"/>
  <c r="A1142" i="28"/>
  <c r="A1141" i="28"/>
  <c r="A1140" i="28"/>
  <c r="A1139" i="28"/>
  <c r="A1138" i="28"/>
  <c r="A1137" i="28"/>
  <c r="A1136" i="28"/>
  <c r="A1135" i="28"/>
  <c r="A1134" i="28"/>
  <c r="A1133" i="28"/>
  <c r="A1132" i="28"/>
  <c r="A1131" i="28"/>
  <c r="A1130" i="28"/>
  <c r="A1129" i="28"/>
  <c r="A1128" i="28"/>
  <c r="A1127" i="28"/>
  <c r="A1126" i="28"/>
  <c r="A1125" i="28"/>
  <c r="A1124" i="28"/>
  <c r="A1123" i="28"/>
  <c r="A1122" i="28"/>
  <c r="A1121" i="28"/>
  <c r="A1120" i="28"/>
  <c r="A1119" i="28"/>
  <c r="A1118" i="28"/>
  <c r="A1117" i="28"/>
  <c r="A1116" i="28"/>
  <c r="A1115" i="28"/>
  <c r="A1114" i="28"/>
  <c r="A1113" i="28"/>
  <c r="A1112" i="28"/>
  <c r="A1111" i="28"/>
  <c r="A1110" i="28"/>
  <c r="A1109" i="28"/>
  <c r="A1108" i="28"/>
  <c r="A1107" i="28"/>
  <c r="A1106" i="28"/>
  <c r="A1105" i="28"/>
  <c r="A1104" i="28"/>
  <c r="A1103" i="28"/>
  <c r="A1102" i="28"/>
  <c r="A1101" i="28"/>
  <c r="A1100" i="28"/>
  <c r="A1099" i="28"/>
  <c r="A1098" i="28"/>
  <c r="A1097" i="28"/>
  <c r="A1096" i="28"/>
  <c r="A1095" i="28"/>
  <c r="A1094" i="28"/>
  <c r="A1093" i="28"/>
  <c r="A1092" i="28"/>
  <c r="A1091" i="28"/>
  <c r="A1090" i="28"/>
  <c r="A1089" i="28"/>
  <c r="A1088" i="28"/>
  <c r="A1087" i="28"/>
  <c r="A1086" i="28"/>
  <c r="A1085" i="28"/>
  <c r="A1084" i="28"/>
  <c r="A1083" i="28"/>
  <c r="A1082" i="28"/>
  <c r="A1081" i="28"/>
  <c r="A1080" i="28"/>
  <c r="A1079" i="28"/>
  <c r="A1078" i="28"/>
  <c r="A1077" i="28"/>
  <c r="A1076" i="28"/>
  <c r="A1075" i="28"/>
  <c r="A1074" i="28"/>
  <c r="A1073" i="28"/>
  <c r="A1072" i="28"/>
  <c r="A1071" i="28"/>
  <c r="A1070" i="28"/>
  <c r="A1069" i="28"/>
  <c r="A1068" i="28"/>
  <c r="A1067" i="28"/>
  <c r="A1066" i="28"/>
  <c r="A1065" i="28"/>
  <c r="A1064" i="28"/>
  <c r="A1063" i="28"/>
  <c r="A1062" i="28"/>
  <c r="A1061" i="28"/>
  <c r="A1060" i="28"/>
  <c r="A1059" i="28"/>
  <c r="A1058" i="28"/>
  <c r="A1057" i="28"/>
  <c r="A1056" i="28"/>
  <c r="A1055" i="28"/>
  <c r="A1054" i="28"/>
  <c r="A1053" i="28"/>
  <c r="A1052" i="28"/>
  <c r="A1051" i="28"/>
  <c r="A1050" i="28"/>
  <c r="A1049" i="28"/>
  <c r="A1048" i="28"/>
  <c r="A1047" i="28"/>
  <c r="A1046" i="28"/>
  <c r="A1045" i="28"/>
  <c r="A1044" i="28"/>
  <c r="A1043" i="28"/>
  <c r="A1042" i="28"/>
  <c r="A1041" i="28"/>
  <c r="A1040" i="28"/>
  <c r="A1039" i="28"/>
  <c r="A1038" i="28"/>
  <c r="A1037" i="28"/>
  <c r="A1036" i="28"/>
  <c r="A1035" i="28"/>
  <c r="A1034" i="28"/>
  <c r="A1033" i="28"/>
  <c r="A1032" i="28"/>
  <c r="A1031" i="28"/>
  <c r="A1030" i="28"/>
  <c r="A1029" i="28"/>
  <c r="A1028" i="28"/>
  <c r="A1027" i="28"/>
  <c r="A1026" i="28"/>
  <c r="A1025" i="28"/>
  <c r="A1024" i="28"/>
  <c r="A1023" i="28"/>
  <c r="A1022" i="28"/>
  <c r="A1021" i="28"/>
  <c r="A1020" i="28"/>
  <c r="A1019" i="28"/>
  <c r="A1018" i="28"/>
  <c r="A1017" i="28"/>
  <c r="A1016" i="28"/>
  <c r="A1015" i="28"/>
  <c r="A1014" i="28"/>
  <c r="A1013" i="28"/>
  <c r="A1012" i="28"/>
  <c r="A1011" i="28"/>
  <c r="A1010" i="28"/>
  <c r="A1009" i="28"/>
  <c r="A1008" i="28"/>
  <c r="A1007" i="28"/>
  <c r="A1006" i="28"/>
  <c r="A1005" i="28"/>
  <c r="A1004" i="28"/>
  <c r="A1003" i="28"/>
  <c r="A1002" i="28"/>
  <c r="A1001" i="28"/>
  <c r="A1000" i="28"/>
  <c r="A999" i="28"/>
  <c r="A998" i="28"/>
  <c r="A997" i="28"/>
  <c r="A996" i="28"/>
  <c r="A995" i="28"/>
  <c r="A994" i="28"/>
  <c r="A993" i="28"/>
  <c r="A992" i="28"/>
  <c r="A991" i="28"/>
  <c r="A990" i="28"/>
  <c r="A989" i="28"/>
  <c r="A988" i="28"/>
  <c r="A987" i="28"/>
  <c r="A986" i="28"/>
  <c r="A985" i="28"/>
  <c r="A984" i="28"/>
  <c r="A983" i="28"/>
  <c r="A982" i="28"/>
  <c r="A981" i="28"/>
  <c r="A980" i="28"/>
  <c r="A979" i="28"/>
  <c r="A978" i="28"/>
  <c r="A977" i="28"/>
  <c r="A976" i="28"/>
  <c r="A975" i="28"/>
  <c r="A974" i="28"/>
  <c r="A973" i="28"/>
  <c r="A972" i="28"/>
  <c r="A971" i="28"/>
  <c r="A970" i="28"/>
  <c r="A969" i="28"/>
  <c r="A968" i="28"/>
  <c r="A967" i="28"/>
  <c r="A966" i="28"/>
  <c r="A965" i="28"/>
  <c r="A964" i="28"/>
  <c r="A963" i="28"/>
  <c r="A962" i="28"/>
  <c r="A961" i="28"/>
  <c r="A960" i="28"/>
  <c r="A959" i="28"/>
  <c r="A958" i="28"/>
  <c r="A957" i="28"/>
  <c r="A956" i="28"/>
  <c r="A955" i="28"/>
  <c r="A954" i="28"/>
  <c r="A953" i="28"/>
  <c r="A952" i="28"/>
  <c r="A951" i="28"/>
  <c r="A950" i="28"/>
  <c r="A949" i="28"/>
  <c r="A948" i="28"/>
  <c r="A947" i="28"/>
  <c r="A946" i="28"/>
  <c r="A945" i="28"/>
  <c r="A944" i="28"/>
  <c r="A943" i="28"/>
  <c r="A942" i="28"/>
  <c r="A941" i="28"/>
  <c r="A940" i="28"/>
  <c r="A939" i="28"/>
  <c r="A938" i="28"/>
  <c r="A937" i="28"/>
  <c r="A936" i="28"/>
  <c r="A935" i="28"/>
  <c r="A934" i="28"/>
  <c r="A933" i="28"/>
  <c r="A932" i="28"/>
  <c r="A931" i="28"/>
  <c r="A930" i="28"/>
  <c r="A929" i="28"/>
  <c r="A928" i="28"/>
  <c r="A927" i="28"/>
  <c r="A926" i="28"/>
  <c r="A925" i="28"/>
  <c r="A924" i="28"/>
  <c r="A923" i="28"/>
  <c r="A922" i="28"/>
  <c r="A921" i="28"/>
  <c r="A920" i="28"/>
  <c r="A919" i="28"/>
  <c r="A918" i="28"/>
  <c r="A917" i="28"/>
  <c r="A916" i="28"/>
  <c r="A915" i="28"/>
  <c r="A914" i="28"/>
  <c r="A913" i="28"/>
  <c r="A908" i="28"/>
  <c r="A907" i="28"/>
  <c r="A906" i="28"/>
  <c r="A905" i="28"/>
  <c r="A904" i="28"/>
  <c r="A903" i="28"/>
  <c r="A902" i="28"/>
  <c r="A901" i="28"/>
  <c r="A900" i="28"/>
  <c r="A899" i="28"/>
  <c r="A898" i="28"/>
  <c r="A897" i="28"/>
  <c r="A896" i="28"/>
  <c r="A895" i="28"/>
  <c r="A894" i="28"/>
  <c r="A893" i="28"/>
  <c r="A892" i="28"/>
  <c r="A891" i="28"/>
  <c r="A890" i="28"/>
  <c r="A889" i="28"/>
  <c r="A888" i="28"/>
  <c r="A887" i="28"/>
  <c r="A886" i="28"/>
  <c r="A885" i="28"/>
  <c r="A884" i="28"/>
  <c r="A883" i="28"/>
  <c r="A882" i="28"/>
  <c r="A881" i="28"/>
  <c r="A880" i="28"/>
  <c r="A879" i="28"/>
  <c r="A878" i="28"/>
  <c r="A877" i="28"/>
  <c r="A876" i="28"/>
  <c r="A859" i="28"/>
  <c r="A858" i="28"/>
  <c r="A857" i="28"/>
  <c r="A856" i="28"/>
  <c r="A855" i="28"/>
  <c r="A854" i="28"/>
  <c r="A853" i="28"/>
  <c r="A852" i="28"/>
  <c r="A851" i="28"/>
  <c r="A850" i="28"/>
  <c r="A849" i="28"/>
  <c r="A848" i="28"/>
  <c r="A847" i="28"/>
  <c r="A846" i="28"/>
  <c r="A845" i="28"/>
  <c r="A844" i="28"/>
  <c r="A843" i="28"/>
  <c r="A842" i="28"/>
  <c r="A841" i="28"/>
  <c r="A840" i="28"/>
  <c r="A839" i="28"/>
  <c r="A838" i="28"/>
  <c r="A837" i="28"/>
  <c r="A836" i="28"/>
  <c r="A835" i="28"/>
  <c r="A834" i="28"/>
  <c r="A833" i="28"/>
  <c r="A832" i="28"/>
  <c r="A831" i="28"/>
  <c r="A830" i="28"/>
  <c r="A827" i="28"/>
  <c r="A826" i="28"/>
  <c r="A272" i="28"/>
  <c r="A271" i="28"/>
  <c r="A75" i="28"/>
  <c r="A822" i="28"/>
  <c r="A825" i="28"/>
  <c r="A823" i="28"/>
  <c r="A824" i="28"/>
  <c r="A821" i="28"/>
  <c r="A820" i="28"/>
  <c r="A819" i="28"/>
  <c r="A818" i="28"/>
  <c r="A817" i="28"/>
  <c r="A816" i="28"/>
  <c r="A810" i="28"/>
  <c r="A815" i="28"/>
  <c r="A814" i="28"/>
  <c r="A811" i="28"/>
  <c r="A813" i="28"/>
  <c r="A812" i="28"/>
  <c r="A809" i="28"/>
  <c r="A808" i="28"/>
  <c r="A807" i="28"/>
  <c r="A806" i="28"/>
  <c r="A805" i="28"/>
  <c r="A804" i="28"/>
  <c r="A798" i="28"/>
  <c r="A803" i="28"/>
  <c r="A802" i="28"/>
  <c r="A799" i="28"/>
  <c r="A801" i="28"/>
  <c r="A800" i="28"/>
  <c r="A797" i="28"/>
  <c r="A796" i="28"/>
  <c r="A795" i="28"/>
  <c r="A794" i="28"/>
  <c r="A793" i="28"/>
  <c r="A792" i="28"/>
  <c r="A786" i="28"/>
  <c r="A791" i="28"/>
  <c r="A790" i="28"/>
  <c r="A787" i="28"/>
  <c r="A789" i="28"/>
  <c r="A788" i="28"/>
  <c r="A785" i="28"/>
  <c r="A784" i="28"/>
  <c r="A783" i="28"/>
  <c r="A782" i="28"/>
  <c r="A781" i="28"/>
  <c r="A780" i="28"/>
  <c r="A761" i="28"/>
  <c r="A760" i="28"/>
  <c r="A756" i="28"/>
  <c r="A759" i="28"/>
  <c r="A758" i="28"/>
  <c r="A757" i="28"/>
  <c r="A722" i="28"/>
  <c r="A721" i="28"/>
  <c r="A720" i="28"/>
  <c r="A719" i="28"/>
  <c r="A718" i="28"/>
  <c r="A717" i="28"/>
  <c r="A716" i="28"/>
  <c r="A715" i="28"/>
  <c r="A755" i="28"/>
  <c r="A754" i="28"/>
  <c r="A753" i="28"/>
  <c r="A752" i="28"/>
  <c r="A751" i="28"/>
  <c r="A750" i="28"/>
  <c r="A749" i="28"/>
  <c r="A748" i="28"/>
  <c r="A747" i="28"/>
  <c r="A746" i="28"/>
  <c r="A745" i="28"/>
  <c r="A744" i="28"/>
  <c r="A662" i="28"/>
  <c r="A661" i="28"/>
  <c r="A660" i="28"/>
  <c r="A659" i="28"/>
  <c r="A658" i="28"/>
  <c r="A657" i="28"/>
  <c r="A656" i="28"/>
  <c r="A655" i="28"/>
  <c r="A654" i="28"/>
  <c r="A653" i="28"/>
  <c r="A652" i="28"/>
  <c r="A651" i="28"/>
  <c r="A650" i="28"/>
  <c r="A649" i="28"/>
  <c r="A648" i="28"/>
  <c r="A647" i="28"/>
  <c r="A646" i="28"/>
  <c r="A645" i="28"/>
  <c r="A664" i="28"/>
  <c r="A663" i="28"/>
  <c r="A644" i="28"/>
  <c r="A643" i="28"/>
  <c r="A642" i="28"/>
  <c r="A641" i="28"/>
  <c r="A638" i="28"/>
  <c r="A637" i="28"/>
  <c r="A636" i="28"/>
  <c r="A635" i="28"/>
  <c r="A634" i="28"/>
  <c r="A633" i="28"/>
  <c r="A640" i="28"/>
  <c r="A639" i="28"/>
  <c r="A632" i="28"/>
  <c r="A631" i="28"/>
  <c r="A630" i="28"/>
  <c r="A629" i="28"/>
  <c r="A626" i="28"/>
  <c r="A625" i="28"/>
  <c r="A624" i="28"/>
  <c r="A623" i="28"/>
  <c r="A622" i="28"/>
  <c r="A621" i="28"/>
  <c r="A628" i="28"/>
  <c r="A627" i="28"/>
  <c r="A620" i="28"/>
  <c r="A619" i="28"/>
  <c r="A618" i="28"/>
  <c r="A617" i="28"/>
  <c r="A610" i="28"/>
  <c r="A607" i="28"/>
  <c r="A614" i="28"/>
  <c r="A613" i="28"/>
  <c r="A612" i="28"/>
  <c r="A611" i="28"/>
  <c r="A616" i="28"/>
  <c r="A615" i="28"/>
  <c r="A609" i="28"/>
  <c r="A608" i="28"/>
  <c r="A606" i="28"/>
  <c r="A603" i="28"/>
  <c r="A600" i="28"/>
  <c r="A599" i="28"/>
  <c r="A598" i="28"/>
  <c r="A597" i="28"/>
  <c r="A596" i="28"/>
  <c r="A595" i="28"/>
  <c r="A594" i="28"/>
  <c r="A593" i="28"/>
  <c r="A592" i="28"/>
  <c r="A591" i="28"/>
  <c r="A605" i="28"/>
  <c r="A602" i="28"/>
  <c r="A590" i="28"/>
  <c r="A589" i="28"/>
  <c r="A588" i="28"/>
  <c r="A587" i="28"/>
  <c r="A604" i="28"/>
  <c r="A601" i="28"/>
  <c r="A586" i="28"/>
  <c r="A585" i="28"/>
  <c r="A584" i="28"/>
  <c r="A583" i="28"/>
  <c r="A582" i="28"/>
  <c r="A581" i="28"/>
  <c r="A580" i="28"/>
  <c r="A579" i="28"/>
  <c r="A578" i="28"/>
  <c r="A577" i="28"/>
  <c r="A576" i="28"/>
  <c r="A575" i="28"/>
  <c r="A574" i="28"/>
  <c r="A573" i="28"/>
  <c r="A572" i="28"/>
  <c r="A571" i="28"/>
  <c r="A569" i="28"/>
  <c r="A570" i="28"/>
  <c r="A568" i="28"/>
  <c r="A567" i="28"/>
  <c r="A566" i="28"/>
  <c r="A565" i="28"/>
  <c r="A564" i="28"/>
  <c r="A563" i="28"/>
  <c r="A562" i="28"/>
  <c r="A561" i="28"/>
  <c r="A560" i="28"/>
  <c r="A559" i="28"/>
  <c r="A558" i="28"/>
  <c r="A557" i="28"/>
  <c r="A556" i="28"/>
  <c r="A555" i="28"/>
  <c r="A554" i="28"/>
  <c r="A553" i="28"/>
  <c r="A552" i="28"/>
  <c r="A551" i="28"/>
  <c r="A550" i="28"/>
  <c r="A549" i="28"/>
  <c r="A548" i="28"/>
  <c r="A547" i="28"/>
  <c r="A546" i="28"/>
  <c r="A545" i="28"/>
  <c r="A544" i="28"/>
  <c r="A543" i="28"/>
  <c r="A542" i="28"/>
  <c r="A541" i="28"/>
  <c r="A540" i="28"/>
  <c r="A539" i="28"/>
  <c r="A538" i="28"/>
  <c r="A537" i="28"/>
  <c r="A536" i="28"/>
  <c r="A535" i="28"/>
  <c r="A534" i="28"/>
  <c r="A533" i="28"/>
  <c r="A532" i="28"/>
  <c r="A531" i="28"/>
  <c r="A530" i="28"/>
  <c r="A529" i="28"/>
  <c r="A528" i="28"/>
  <c r="A527" i="28"/>
  <c r="A526" i="28"/>
  <c r="A523" i="28"/>
  <c r="A522" i="28"/>
  <c r="A521" i="28"/>
  <c r="A520" i="28"/>
  <c r="A525" i="28"/>
  <c r="A524" i="28"/>
  <c r="A519" i="28"/>
  <c r="A518" i="28"/>
  <c r="A517" i="28"/>
  <c r="A516" i="28"/>
  <c r="A515" i="28"/>
  <c r="A514" i="28"/>
  <c r="A513" i="28"/>
  <c r="A512" i="28"/>
  <c r="A511" i="28"/>
  <c r="A510" i="28"/>
  <c r="A509" i="28"/>
  <c r="A508" i="28"/>
  <c r="A507" i="28"/>
  <c r="A506" i="28"/>
  <c r="A505" i="28"/>
  <c r="A504" i="28"/>
  <c r="A503" i="28"/>
  <c r="A502" i="28"/>
  <c r="A501" i="28"/>
  <c r="A500" i="28"/>
  <c r="A499" i="28"/>
  <c r="A498" i="28"/>
  <c r="A497" i="28"/>
  <c r="A496" i="28"/>
  <c r="A495" i="28"/>
  <c r="A494" i="28"/>
  <c r="A493" i="28"/>
  <c r="A492" i="28"/>
  <c r="A491" i="28"/>
  <c r="A490" i="28"/>
  <c r="A489" i="28"/>
  <c r="A488" i="28"/>
  <c r="A487" i="28"/>
  <c r="A486" i="28"/>
  <c r="A483" i="28"/>
  <c r="A480" i="28"/>
  <c r="A479" i="28"/>
  <c r="A478" i="28"/>
  <c r="A477" i="28"/>
  <c r="A485" i="28"/>
  <c r="A482" i="28"/>
  <c r="A476" i="28"/>
  <c r="A475" i="28"/>
  <c r="A474" i="28"/>
  <c r="A473" i="28"/>
  <c r="A484" i="28"/>
  <c r="A481" i="28"/>
  <c r="A472" i="28"/>
  <c r="A471" i="28"/>
  <c r="A470" i="28"/>
  <c r="A469" i="28"/>
  <c r="A468" i="28"/>
  <c r="A465" i="28"/>
  <c r="A462" i="28"/>
  <c r="A461" i="28"/>
  <c r="A460" i="28"/>
  <c r="A459" i="28"/>
  <c r="A467" i="28"/>
  <c r="A464" i="28"/>
  <c r="A458" i="28"/>
  <c r="A457" i="28"/>
  <c r="A456" i="28"/>
  <c r="A455" i="28"/>
  <c r="A466" i="28"/>
  <c r="A463" i="28"/>
  <c r="A454" i="28"/>
  <c r="A452" i="28"/>
  <c r="A451" i="28"/>
  <c r="A666" i="28"/>
  <c r="A665" i="28"/>
  <c r="A682" i="28"/>
  <c r="A681" i="28"/>
  <c r="A680" i="28"/>
  <c r="A679" i="28"/>
  <c r="A678" i="28"/>
  <c r="A677" i="28"/>
  <c r="A676" i="28"/>
  <c r="A675" i="28"/>
  <c r="A674" i="28"/>
  <c r="A673" i="28"/>
  <c r="A672" i="28"/>
  <c r="A671" i="28"/>
  <c r="A670" i="28"/>
  <c r="A669" i="28"/>
  <c r="A668" i="28"/>
  <c r="A667" i="28"/>
  <c r="A450" i="28"/>
  <c r="A449" i="28"/>
  <c r="A448" i="28"/>
  <c r="A447" i="28"/>
  <c r="A446" i="28"/>
  <c r="A445" i="28"/>
  <c r="A444" i="28"/>
  <c r="A443" i="28"/>
  <c r="A442" i="28"/>
  <c r="A441" i="28"/>
  <c r="A440" i="28"/>
  <c r="A439" i="28"/>
  <c r="A438" i="28"/>
  <c r="A437" i="28"/>
  <c r="A436" i="28"/>
  <c r="A435" i="28"/>
  <c r="A434" i="28"/>
  <c r="A433" i="28"/>
  <c r="A432" i="28"/>
  <c r="A431" i="28"/>
  <c r="A430" i="28"/>
  <c r="A429" i="28"/>
  <c r="A428" i="28"/>
  <c r="A427" i="28"/>
  <c r="A426" i="28"/>
  <c r="A425" i="28"/>
  <c r="A424" i="28"/>
  <c r="A423" i="28"/>
  <c r="A422" i="28"/>
  <c r="A421" i="28"/>
  <c r="A420" i="28"/>
  <c r="A419" i="28"/>
  <c r="A418" i="28"/>
  <c r="A417" i="28"/>
  <c r="A416" i="28"/>
  <c r="A415" i="28"/>
  <c r="A414" i="28"/>
  <c r="A413" i="28"/>
  <c r="A412" i="28"/>
  <c r="A411" i="28"/>
  <c r="A410" i="28"/>
  <c r="A409" i="28"/>
  <c r="A408" i="28"/>
  <c r="A407" i="28"/>
  <c r="A406" i="28"/>
  <c r="A405" i="28"/>
  <c r="A404" i="28"/>
  <c r="A403" i="28"/>
  <c r="A724" i="28"/>
  <c r="A723" i="28"/>
  <c r="A743" i="28"/>
  <c r="A742" i="28"/>
  <c r="A741" i="28"/>
  <c r="A740" i="28"/>
  <c r="A739" i="28"/>
  <c r="A738" i="28"/>
  <c r="A737" i="28"/>
  <c r="A736" i="28"/>
  <c r="A735" i="28"/>
  <c r="A734" i="28"/>
  <c r="A733" i="28"/>
  <c r="A732" i="28"/>
  <c r="A731" i="28"/>
  <c r="A730" i="28"/>
  <c r="A729" i="28"/>
  <c r="A728" i="28"/>
  <c r="A727" i="28"/>
  <c r="A726" i="28"/>
  <c r="A725" i="28"/>
  <c r="A400" i="28"/>
  <c r="A399" i="28"/>
  <c r="A398" i="28"/>
  <c r="A397" i="28"/>
  <c r="A396" i="28"/>
  <c r="A395" i="28"/>
  <c r="A402" i="28"/>
  <c r="A401" i="28"/>
  <c r="A394" i="28"/>
  <c r="A393" i="28"/>
  <c r="A392" i="28"/>
  <c r="A391" i="28"/>
  <c r="A390" i="28"/>
  <c r="A389" i="28"/>
  <c r="A388" i="28"/>
  <c r="A387" i="28"/>
  <c r="A386" i="28"/>
  <c r="A385" i="28"/>
  <c r="A384" i="28"/>
  <c r="A383" i="28"/>
  <c r="A382" i="28"/>
  <c r="A381" i="28"/>
  <c r="A380" i="28"/>
  <c r="A379" i="28"/>
  <c r="A378" i="28"/>
  <c r="A377" i="28"/>
  <c r="A376" i="28"/>
  <c r="A375" i="28"/>
  <c r="A374" i="28"/>
  <c r="A373" i="28"/>
  <c r="A372" i="28"/>
  <c r="A371" i="28"/>
  <c r="A370" i="28"/>
  <c r="A369" i="28"/>
  <c r="A368" i="28"/>
  <c r="A367" i="28"/>
  <c r="A366" i="28"/>
  <c r="A365" i="28"/>
  <c r="A364" i="28"/>
  <c r="A363" i="28"/>
  <c r="A362" i="28"/>
  <c r="A361" i="28"/>
  <c r="A360" i="28"/>
  <c r="A359" i="28"/>
  <c r="A358" i="28"/>
  <c r="A357" i="28"/>
  <c r="A356" i="28"/>
  <c r="A355" i="28"/>
  <c r="A352" i="28"/>
  <c r="A351" i="28"/>
  <c r="A350" i="28"/>
  <c r="A349" i="28"/>
  <c r="A348" i="28"/>
  <c r="A347" i="28"/>
  <c r="A346" i="28"/>
  <c r="A345" i="28"/>
  <c r="A344" i="28"/>
  <c r="A343" i="28"/>
  <c r="A342" i="28"/>
  <c r="A341" i="28"/>
  <c r="A354" i="28"/>
  <c r="A353" i="28"/>
  <c r="A340" i="28"/>
  <c r="A339" i="28"/>
  <c r="A338" i="28"/>
  <c r="A337" i="28"/>
  <c r="A336" i="28"/>
  <c r="A335" i="28"/>
  <c r="A334" i="28"/>
  <c r="A333" i="28"/>
  <c r="A332" i="28"/>
  <c r="A331" i="28"/>
  <c r="A330" i="28"/>
  <c r="A329" i="28"/>
  <c r="A328" i="28"/>
  <c r="A327" i="28"/>
  <c r="A326" i="28"/>
  <c r="A325" i="28"/>
  <c r="A324" i="28"/>
  <c r="A323" i="28"/>
  <c r="A322" i="28"/>
  <c r="A321" i="28"/>
  <c r="A320" i="28"/>
  <c r="A319" i="28"/>
  <c r="A318" i="28"/>
  <c r="A317" i="28"/>
  <c r="A316" i="28"/>
  <c r="A315" i="28"/>
  <c r="A314" i="28"/>
  <c r="A313" i="28"/>
  <c r="A312" i="28"/>
  <c r="A311" i="28"/>
  <c r="A310" i="28"/>
  <c r="A309" i="28"/>
  <c r="A308" i="28"/>
  <c r="A307" i="28"/>
  <c r="A306" i="28"/>
  <c r="A305" i="28"/>
  <c r="A304" i="28"/>
  <c r="A303" i="28"/>
  <c r="A302" i="28"/>
  <c r="A301" i="28"/>
  <c r="A300" i="28"/>
  <c r="A299" i="28"/>
  <c r="A298" i="28"/>
  <c r="A297" i="28"/>
  <c r="A296" i="28"/>
  <c r="A295" i="28"/>
  <c r="A294" i="28"/>
  <c r="A293" i="28"/>
  <c r="A292" i="28"/>
  <c r="A291" i="28"/>
  <c r="A290" i="28"/>
  <c r="A289" i="28"/>
  <c r="A288" i="28"/>
  <c r="A287" i="28"/>
  <c r="A286" i="28"/>
  <c r="A285" i="28"/>
  <c r="A284" i="28"/>
  <c r="A283" i="28"/>
  <c r="A282" i="28"/>
  <c r="A281" i="28"/>
  <c r="A280" i="28"/>
  <c r="A279" i="28"/>
  <c r="A278" i="28"/>
  <c r="A277" i="28"/>
  <c r="A702" i="28"/>
  <c r="A700" i="28"/>
  <c r="A714" i="28"/>
  <c r="A713" i="28"/>
  <c r="A701" i="28"/>
  <c r="A699" i="28"/>
  <c r="A712" i="28"/>
  <c r="A710" i="28"/>
  <c r="A709" i="28"/>
  <c r="A708" i="28"/>
  <c r="A707" i="28"/>
  <c r="A706" i="28"/>
  <c r="A705" i="28"/>
  <c r="A704" i="28"/>
  <c r="A703" i="28"/>
  <c r="A684" i="28"/>
  <c r="A683" i="28"/>
  <c r="A698" i="28"/>
  <c r="A697" i="28"/>
  <c r="A696" i="28"/>
  <c r="A695" i="28"/>
  <c r="A694" i="28"/>
  <c r="A693" i="28"/>
  <c r="A692" i="28"/>
  <c r="A691" i="28"/>
  <c r="A690" i="28"/>
  <c r="A689" i="28"/>
  <c r="A688" i="28"/>
  <c r="A687" i="28"/>
  <c r="A686" i="28"/>
  <c r="A685" i="28"/>
  <c r="A276" i="28"/>
  <c r="A275" i="28"/>
  <c r="A274" i="28"/>
  <c r="A273" i="28"/>
  <c r="A270" i="28"/>
  <c r="A269" i="28"/>
  <c r="A268" i="28"/>
  <c r="A266" i="28"/>
  <c r="A265" i="28"/>
  <c r="A267" i="28"/>
  <c r="A264" i="28"/>
  <c r="A263" i="28"/>
  <c r="A262" i="28"/>
  <c r="A261" i="28"/>
  <c r="A260" i="28"/>
  <c r="A259" i="28"/>
  <c r="A256" i="28"/>
  <c r="A255" i="28"/>
  <c r="A254" i="28"/>
  <c r="A258" i="28"/>
  <c r="A257" i="28"/>
  <c r="A253" i="28"/>
  <c r="A252" i="28"/>
  <c r="A251" i="28"/>
  <c r="A250" i="28"/>
  <c r="A249" i="28"/>
  <c r="A248" i="28"/>
  <c r="A247" i="28"/>
  <c r="A246" i="28"/>
  <c r="A245" i="28"/>
  <c r="A244" i="28"/>
  <c r="A243" i="28"/>
  <c r="A242" i="28"/>
  <c r="A241" i="28"/>
  <c r="A240" i="28"/>
  <c r="A239" i="28"/>
  <c r="A238" i="28"/>
  <c r="A237" i="28"/>
  <c r="A236" i="28"/>
  <c r="A235" i="28"/>
  <c r="A234" i="28"/>
  <c r="A233" i="28"/>
  <c r="A232" i="28"/>
  <c r="A231" i="28"/>
  <c r="A230" i="28"/>
  <c r="A229" i="28"/>
  <c r="A228" i="28"/>
  <c r="A227" i="28"/>
  <c r="A226" i="28"/>
  <c r="A225" i="28"/>
  <c r="A224" i="28"/>
  <c r="A223" i="28"/>
  <c r="A222" i="28"/>
  <c r="A221" i="28"/>
  <c r="A220" i="28"/>
  <c r="A219" i="28"/>
  <c r="A218" i="28"/>
  <c r="A217" i="28"/>
  <c r="A216" i="28"/>
  <c r="A215" i="28"/>
  <c r="A214" i="28"/>
  <c r="A213" i="28"/>
  <c r="A212" i="28"/>
  <c r="A211" i="28"/>
  <c r="A210" i="28"/>
  <c r="A209" i="28"/>
  <c r="A208" i="28"/>
  <c r="A207" i="28"/>
  <c r="A206" i="28"/>
  <c r="A205" i="28"/>
  <c r="A202" i="28"/>
  <c r="A201" i="28"/>
  <c r="A200" i="28"/>
  <c r="A199" i="28"/>
  <c r="A198" i="28"/>
  <c r="A197" i="28"/>
  <c r="A196" i="28"/>
  <c r="A195" i="28"/>
  <c r="A194" i="28"/>
  <c r="A193" i="28"/>
  <c r="A192" i="28"/>
  <c r="A191" i="28"/>
  <c r="A190" i="28"/>
  <c r="A189" i="28"/>
  <c r="A188" i="28"/>
  <c r="A204" i="28"/>
  <c r="A203" i="28"/>
  <c r="A187" i="28"/>
  <c r="A186" i="28"/>
  <c r="A185" i="28"/>
  <c r="A184" i="28"/>
  <c r="A183" i="28"/>
  <c r="A182" i="28"/>
  <c r="A181" i="28"/>
  <c r="A180" i="28"/>
  <c r="A179" i="28"/>
  <c r="A178" i="28"/>
  <c r="A177" i="28"/>
  <c r="A176" i="28"/>
  <c r="A175" i="28"/>
  <c r="A174" i="28"/>
  <c r="A173" i="28"/>
  <c r="A172" i="28"/>
  <c r="A171" i="28"/>
  <c r="A170" i="28"/>
  <c r="A169" i="28"/>
  <c r="A168" i="28"/>
  <c r="A167" i="28"/>
  <c r="A166" i="28"/>
  <c r="A165" i="28"/>
  <c r="A164" i="28"/>
  <c r="A163" i="28"/>
  <c r="A162" i="28"/>
  <c r="A161" i="28"/>
  <c r="A158" i="28"/>
  <c r="A157" i="28"/>
  <c r="A160" i="28"/>
  <c r="A159" i="28"/>
  <c r="A156" i="28"/>
  <c r="A155" i="28"/>
  <c r="A154" i="28"/>
  <c r="A153" i="28"/>
  <c r="A152" i="28"/>
  <c r="A151" i="28"/>
  <c r="A150" i="28"/>
  <c r="A149" i="28"/>
  <c r="A148" i="28"/>
  <c r="A147" i="28"/>
  <c r="A146" i="28"/>
  <c r="A145" i="28"/>
  <c r="A144" i="28"/>
  <c r="A143" i="28"/>
  <c r="A142" i="28"/>
  <c r="A141" i="28"/>
  <c r="A140" i="28"/>
  <c r="A139" i="28"/>
  <c r="A138" i="28"/>
  <c r="A137" i="28"/>
  <c r="A136" i="28"/>
  <c r="A135" i="28"/>
  <c r="A134" i="28"/>
  <c r="A133" i="28"/>
  <c r="A132" i="28"/>
  <c r="A131" i="28"/>
  <c r="A130" i="28"/>
  <c r="A129" i="28"/>
  <c r="A128" i="28"/>
  <c r="A127" i="28"/>
  <c r="A126" i="28"/>
  <c r="A125" i="28"/>
  <c r="A124" i="28"/>
  <c r="A123" i="28"/>
  <c r="A122" i="28"/>
  <c r="A121" i="28"/>
  <c r="A120" i="28"/>
  <c r="A119" i="28"/>
  <c r="A118" i="28"/>
  <c r="A117" i="28"/>
  <c r="A116" i="28"/>
  <c r="A115" i="28"/>
  <c r="A114" i="28"/>
  <c r="A113" i="28"/>
  <c r="A112" i="28"/>
  <c r="A111" i="28"/>
  <c r="A110" i="28"/>
  <c r="A109" i="28"/>
  <c r="A108" i="28"/>
  <c r="A107" i="28"/>
  <c r="A106" i="28"/>
  <c r="A105" i="28"/>
  <c r="A104" i="28"/>
  <c r="A103" i="28"/>
  <c r="A102" i="28"/>
  <c r="A101" i="28"/>
  <c r="A100" i="28"/>
  <c r="A99" i="28"/>
  <c r="A98" i="28"/>
  <c r="A97" i="28"/>
  <c r="A96" i="28"/>
  <c r="A95" i="28"/>
  <c r="A94" i="28"/>
  <c r="A93" i="28"/>
  <c r="A90" i="28"/>
  <c r="A87" i="28"/>
  <c r="A86" i="28"/>
  <c r="A85" i="28"/>
  <c r="A84" i="28"/>
  <c r="A92" i="28"/>
  <c r="A89" i="28"/>
  <c r="A83" i="28"/>
  <c r="A82" i="28"/>
  <c r="A81" i="28"/>
  <c r="A80" i="28"/>
  <c r="A91" i="28"/>
  <c r="A88" i="28"/>
  <c r="A79" i="28"/>
  <c r="A78" i="28"/>
  <c r="A77" i="28"/>
  <c r="A76" i="28"/>
  <c r="A74" i="28"/>
  <c r="A73" i="28"/>
  <c r="A72" i="28"/>
  <c r="A71" i="28"/>
  <c r="A70" i="28"/>
  <c r="A69" i="28"/>
  <c r="A68" i="28"/>
  <c r="A67" i="28"/>
  <c r="A66" i="28"/>
  <c r="A65" i="28"/>
  <c r="A64" i="28"/>
  <c r="A63" i="28"/>
  <c r="A62" i="28"/>
  <c r="A61" i="28"/>
  <c r="A60" i="28"/>
  <c r="A59" i="28"/>
  <c r="A58" i="28"/>
  <c r="A57" i="28"/>
  <c r="A56" i="28"/>
  <c r="A55" i="28"/>
  <c r="A53" i="28"/>
  <c r="A51" i="28"/>
  <c r="A50" i="28"/>
  <c r="A54" i="28"/>
  <c r="A52" i="28"/>
  <c r="A49" i="28"/>
  <c r="A48" i="28"/>
  <c r="A47" i="28"/>
  <c r="A44" i="28"/>
  <c r="A41" i="28"/>
  <c r="A40" i="28"/>
  <c r="A39" i="28"/>
  <c r="A38" i="28"/>
  <c r="A37" i="28"/>
  <c r="A36" i="28"/>
  <c r="A35" i="28"/>
  <c r="A34" i="28"/>
  <c r="A46" i="28"/>
  <c r="A33" i="28"/>
  <c r="A32" i="28"/>
  <c r="A31" i="28"/>
  <c r="A30" i="28"/>
  <c r="A29" i="28"/>
  <c r="A28" i="28"/>
  <c r="A27" i="28"/>
  <c r="A26" i="28"/>
  <c r="A45" i="28"/>
  <c r="A42" i="28"/>
  <c r="A43" i="28"/>
  <c r="A25" i="28"/>
  <c r="A24" i="28"/>
  <c r="A23" i="28"/>
  <c r="A22" i="28"/>
  <c r="A21" i="28"/>
  <c r="A20" i="28"/>
  <c r="A19" i="28"/>
  <c r="A18" i="28"/>
  <c r="A17" i="28"/>
  <c r="A16" i="28"/>
  <c r="A15" i="28"/>
  <c r="A14" i="28"/>
  <c r="A13" i="28"/>
  <c r="A12" i="28"/>
  <c r="A11" i="28"/>
  <c r="A10" i="28"/>
  <c r="A9" i="28"/>
  <c r="A8" i="28"/>
  <c r="A7" i="28"/>
  <c r="A6" i="28"/>
  <c r="A5" i="28"/>
  <c r="A4" i="28"/>
  <c r="A3" i="28"/>
  <c r="A2" i="28"/>
  <c r="A711" i="28"/>
  <c r="B31" i="31"/>
  <c r="B32" i="31"/>
  <c r="B33" i="31"/>
  <c r="B34" i="31"/>
  <c r="B35" i="31"/>
  <c r="B36" i="31"/>
  <c r="B37" i="31"/>
  <c r="B38" i="31"/>
  <c r="B39" i="31"/>
  <c r="B40" i="31"/>
  <c r="B41" i="31"/>
  <c r="B42" i="31"/>
  <c r="B43" i="31"/>
  <c r="B44" i="31"/>
  <c r="B45" i="31"/>
  <c r="B46" i="31"/>
  <c r="B14" i="31"/>
  <c r="B15" i="31"/>
  <c r="B16" i="31"/>
  <c r="B17" i="31"/>
  <c r="B18" i="31"/>
  <c r="B19" i="31"/>
  <c r="B20" i="31"/>
  <c r="B21" i="31"/>
  <c r="B22" i="31"/>
  <c r="B23" i="31"/>
  <c r="B24" i="31"/>
  <c r="B25" i="31"/>
  <c r="B26" i="31"/>
  <c r="B27" i="31"/>
  <c r="B28" i="31"/>
  <c r="B29" i="31"/>
  <c r="B30" i="31"/>
  <c r="B9" i="31"/>
  <c r="B10" i="31"/>
  <c r="B11" i="31"/>
  <c r="B12" i="31"/>
  <c r="B13" i="31"/>
  <c r="B3" i="31"/>
  <c r="B4" i="31"/>
  <c r="B5" i="31"/>
  <c r="B6" i="31"/>
  <c r="B7" i="31"/>
  <c r="B8" i="31"/>
  <c r="B2" i="31"/>
  <c r="AJ503" i="28" l="1"/>
  <c r="F7" i="25"/>
  <c r="F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Antony, Jesmin</author>
  </authors>
  <commentList>
    <comment ref="A153" authorId="0" shapeId="0" xr:uid="{375BC0EC-3473-47EA-8EAA-8D8123CDC008}">
      <text>
        <r>
          <rPr>
            <b/>
            <sz val="9"/>
            <color indexed="81"/>
            <rFont val="Tahoma"/>
            <family val="2"/>
          </rPr>
          <t>Antony, Jesmin:</t>
        </r>
        <r>
          <rPr>
            <sz val="9"/>
            <color indexed="81"/>
            <rFont val="Tahoma"/>
            <family val="2"/>
          </rPr>
          <t xml:space="preserve">
NCT03738397 - is this trial registry number collected for all studies? May help identify/double-check for related papers.</t>
        </r>
      </text>
    </comment>
  </commentList>
</comments>
</file>

<file path=xl/sharedStrings.xml><?xml version="1.0" encoding="utf-8"?>
<sst xmlns="http://schemas.openxmlformats.org/spreadsheetml/2006/main" count="18253" uniqueCount="2249">
  <si>
    <t>Title</t>
  </si>
  <si>
    <t>study location / setting</t>
  </si>
  <si>
    <t>Concomitant treatment</t>
  </si>
  <si>
    <t>Trial duration  (active treatment; total)</t>
  </si>
  <si>
    <t>primary outcome measure as defined by the investigators</t>
  </si>
  <si>
    <t>Sponsorship (Industry, other, unclear)</t>
  </si>
  <si>
    <t>Blinding</t>
  </si>
  <si>
    <t>Parallel/cross-over</t>
  </si>
  <si>
    <t>Type</t>
  </si>
  <si>
    <t>Berth-Jones
UK
2002</t>
  </si>
  <si>
    <t>Azathioprine in severe adult atopic dermatitis: a double-blind placebo-controlled, crossover trial</t>
  </si>
  <si>
    <t>UK
multi-centre</t>
  </si>
  <si>
    <t>NR</t>
  </si>
  <si>
    <t>Db</t>
  </si>
  <si>
    <t>C</t>
  </si>
  <si>
    <t>P</t>
  </si>
  <si>
    <t>Topical steroids, Anti histamines</t>
  </si>
  <si>
    <t>12 weeks; 24 weeks</t>
  </si>
  <si>
    <t xml:space="preserve">Mean change in SASSAD  from baseline to 12 weeks </t>
  </si>
  <si>
    <t>Other</t>
  </si>
  <si>
    <t>Azathioprine dosed by thiopurine methyltransferase activity for moderate-to-severe atopic eczema: a double-blind, randomized controlled trial</t>
  </si>
  <si>
    <t>Topical steroids</t>
  </si>
  <si>
    <t xml:space="preserve">12 weeks; 36 weeks </t>
  </si>
  <si>
    <t>Bemanian
Iran
2005</t>
  </si>
  <si>
    <t>High dose intrevenous immunoglobulin versus oral cyclosporine in the treatment of severe atopic dermatitis</t>
  </si>
  <si>
    <t>Iran, single-centre</t>
  </si>
  <si>
    <t>O-l</t>
  </si>
  <si>
    <t>H</t>
  </si>
  <si>
    <t>12 weeks; 12 weeks</t>
  </si>
  <si>
    <t xml:space="preserve">Mean change in SCORAD from baseline to 12 weeks </t>
  </si>
  <si>
    <t>Unclear</t>
  </si>
  <si>
    <t>Czech
Germany
2000</t>
  </si>
  <si>
    <t>A body weight-independent dosing regimen of cyclosporine micoremulsion is effective in severe atopic dermatitis and improves the quality of life</t>
  </si>
  <si>
    <t>Germany, single centre</t>
  </si>
  <si>
    <t>D</t>
  </si>
  <si>
    <t>Anti histamines</t>
  </si>
  <si>
    <t xml:space="preserve">8 weeks ; 12 weeks </t>
  </si>
  <si>
    <t>Mean change in TBSA from baseline to 8 weeks</t>
  </si>
  <si>
    <t>Comparison of cyclosporin and UVAB Photo therapy for intermittent one-year treatment ao atopic dermatitis</t>
  </si>
  <si>
    <t>Norway, Finland, multicentre</t>
  </si>
  <si>
    <t>8 weeks (intermittent); 52 weeks</t>
  </si>
  <si>
    <t xml:space="preserve">Mean change in SCORAD from baseline to 30 weeks </t>
  </si>
  <si>
    <t>Sb</t>
  </si>
  <si>
    <t>Industry</t>
  </si>
  <si>
    <t>Munro
UK
1994</t>
  </si>
  <si>
    <t>Maintenance treatment with cyclosporin in atopic eczema</t>
  </si>
  <si>
    <t>NR, NR</t>
  </si>
  <si>
    <t xml:space="preserve">Mean change in area of active eczema from baseline to 8 weeks </t>
  </si>
  <si>
    <t>Pacor
Italy
2004</t>
  </si>
  <si>
    <t>Comparing tacrolimus ointment and oral cyclosporine in adult patients affected by atopic dermatitis: a randomized study</t>
  </si>
  <si>
    <t>Italy, single centre</t>
  </si>
  <si>
    <t xml:space="preserve">Mean change in Area Under the SCORAD Curve from baseline to 6 weeks </t>
  </si>
  <si>
    <t>Both</t>
  </si>
  <si>
    <t>Sowden
UK
1991</t>
  </si>
  <si>
    <t>UK/Multicentre</t>
  </si>
  <si>
    <t>8 weeks; 20 weeks</t>
  </si>
  <si>
    <t xml:space="preserve">Mean change in Disease severity( six defined body sites) from baseline to 8 weeks </t>
  </si>
  <si>
    <t>Hanifin
USA
1993</t>
  </si>
  <si>
    <t>Recombinant interferon gamma therapy for atopic dermatitis</t>
  </si>
  <si>
    <t>USA, mutli-centre</t>
  </si>
  <si>
    <t xml:space="preserve">Mean change in TCS from baseline to 12 weeks </t>
  </si>
  <si>
    <t>Jang
Korea
2000</t>
  </si>
  <si>
    <t>Clinical improvement and immunohistochemical findings in severe atopic dermatitis treated with intereferon gamma</t>
  </si>
  <si>
    <t>D/P</t>
  </si>
  <si>
    <t>Acetaminophen</t>
  </si>
  <si>
    <t>Jee
Korea
2011</t>
  </si>
  <si>
    <t>Long-term efficacy of intravenous immunoglobulin therapy for moderate to severe childhood atopic dermatitis</t>
  </si>
  <si>
    <t>Schram
Holland
2011</t>
  </si>
  <si>
    <t>A randomized trial of methotrexate versus azathioprine for severe atopic eczema</t>
  </si>
  <si>
    <t>NL/single-centre</t>
  </si>
  <si>
    <t>El-Khalawany
Egypt
2013</t>
  </si>
  <si>
    <t>Methotrexate versus cyclosporine in the treatment of severe atopic dermatitis in children: a multicenter experience from Egypt</t>
  </si>
  <si>
    <t>antihistamines and topical emollients</t>
  </si>
  <si>
    <t>absolute reduction in SCORAD score at the end of treatment period</t>
  </si>
  <si>
    <t>Dupilumab treatment in adults with moderate-to-severe atopic dermatitis</t>
  </si>
  <si>
    <t>international/ multi-centre</t>
  </si>
  <si>
    <t>Original article / NEJM
English</t>
  </si>
  <si>
    <t>Europe/ multi-centre</t>
  </si>
  <si>
    <t>clinical efficacy (percentage change in EASI score</t>
  </si>
  <si>
    <t>Thaci
Germany
2015</t>
  </si>
  <si>
    <t>Efficacy and safety of dupilumab in adults with moderate-to-severe atopic dermatitis inadequately controlled by topical treatments: a randomised, placebo-controlled, dose-ranging phase 2b trial</t>
  </si>
  <si>
    <t>topical emollient</t>
  </si>
  <si>
    <t>16 weeks; 32 weeks</t>
  </si>
  <si>
    <t>Percentage change in EASI score from baseline to week 16</t>
  </si>
  <si>
    <t>Iyengar
USA
2013</t>
  </si>
  <si>
    <t>Immunologic effects of omalizumab in children with severe refractory atopic dermatitis: a randomized, placebo-controlled clinical trial</t>
  </si>
  <si>
    <t>USA/ single-centre</t>
  </si>
  <si>
    <t>24 weeks</t>
  </si>
  <si>
    <t>Levels of cytokines, SCORAD</t>
  </si>
  <si>
    <t>ob</t>
  </si>
  <si>
    <t>c</t>
  </si>
  <si>
    <t>db</t>
  </si>
  <si>
    <t>p</t>
  </si>
  <si>
    <t>16 weeks</t>
  </si>
  <si>
    <t>Two Phase 3 Trials of Dupilumab versus Placebo in Atopic Dermatitis</t>
  </si>
  <si>
    <t>IGA 0 or 1 and reduction of at least 2 points at week 16</t>
  </si>
  <si>
    <t>Long-term management of moderate-to-severe atopic dermatitis with dupilumab and concomitant topical corticosteroids (LIBERTY AD CHRONOS): a 1-year, randomised, double-blinded, placebo-controlled, phase 3 trial</t>
  </si>
  <si>
    <t>52 weeks</t>
  </si>
  <si>
    <t>Reference</t>
  </si>
  <si>
    <t>Severity of eczema (definition)</t>
  </si>
  <si>
    <t>other</t>
  </si>
  <si>
    <t>≥ 16 years</t>
  </si>
  <si>
    <t>Severe (not defined by means of score)</t>
  </si>
  <si>
    <t>16-65 years</t>
  </si>
  <si>
    <t>Moderate to severe (NR)</t>
  </si>
  <si>
    <t>NR (Children)</t>
  </si>
  <si>
    <t>Severe (SCORAD &gt; 70)</t>
  </si>
  <si>
    <t>≥ 18 years</t>
  </si>
  <si>
    <t>Severe ( TBSA &gt;=30)</t>
  </si>
  <si>
    <t xml:space="preserve"> 18 -70 years </t>
  </si>
  <si>
    <t>NR (7-9 Rajka &amp; Langeland)</t>
  </si>
  <si>
    <t>Severe (NR)</t>
  </si>
  <si>
    <t>adults</t>
  </si>
  <si>
    <t>severe chronic AE</t>
  </si>
  <si>
    <t>NR (Children + Adults)</t>
  </si>
  <si>
    <t>moderate to severe (Rajka and Langeland)</t>
  </si>
  <si>
    <t>NR (Adults)</t>
  </si>
  <si>
    <t>2-65 years</t>
  </si>
  <si>
    <t>&gt; 15 years</t>
  </si>
  <si>
    <t>Severe (at least 20% of the body involved), refractory ro conventional therapy</t>
  </si>
  <si>
    <t>&gt; 2 years</t>
  </si>
  <si>
    <t>Moderate - Severe (&gt;30% of the body surface), no response to conventional therapy</t>
  </si>
  <si>
    <t>Severe (Raijka and Langeland), unresponsive to CsA</t>
  </si>
  <si>
    <t>8-14 years</t>
  </si>
  <si>
    <t>severe AD and failed to be treated with topical therapy, unfit , uncooperative or poorly responsive to phototherapy</t>
  </si>
  <si>
    <t>&gt; 18 years</t>
  </si>
  <si>
    <t xml:space="preserve">moderate-to-Severe (IGA &gt; 3; &gt;10% of body surface area involved;  EASI &gt; 16), disease duration ≥ 3 years </t>
  </si>
  <si>
    <t>moderate-to-Severe (EASI ≥ 12 at screening and ≥ 16 at baseline; IGA ≥ 3; ≥ 10% of body surface area involved;  documented history of inadequate response to topical treatment), disease duration ≥ 3 years</t>
  </si>
  <si>
    <t>Median EASI: 30.4</t>
  </si>
  <si>
    <t>Study</t>
  </si>
  <si>
    <t>Scale (EASI, O-SCORAD, SASSAD, Other (specify)</t>
  </si>
  <si>
    <t>Arm (drug, dose)</t>
  </si>
  <si>
    <t>Timepoint (weeks)</t>
  </si>
  <si>
    <t>Sample size</t>
  </si>
  <si>
    <t>Mean change</t>
  </si>
  <si>
    <t>SE of change</t>
  </si>
  <si>
    <t>SD of change</t>
  </si>
  <si>
    <t>Baseline Mean</t>
  </si>
  <si>
    <t>Baseline SE</t>
  </si>
  <si>
    <t>Baseline SD</t>
  </si>
  <si>
    <t>Follow-up Mean</t>
  </si>
  <si>
    <t>Follow-up SE</t>
  </si>
  <si>
    <t>Follow-up SD</t>
  </si>
  <si>
    <t>Difference</t>
  </si>
  <si>
    <t>SE of difference</t>
  </si>
  <si>
    <t>SD of difference</t>
  </si>
  <si>
    <t>SASSAD</t>
  </si>
  <si>
    <t>s</t>
  </si>
  <si>
    <t>Placebo</t>
  </si>
  <si>
    <t>O-SCORAD</t>
  </si>
  <si>
    <t>v</t>
  </si>
  <si>
    <t>EASI</t>
  </si>
  <si>
    <t>l</t>
  </si>
  <si>
    <t>POEM</t>
  </si>
  <si>
    <t>DLQI</t>
  </si>
  <si>
    <t>Skindex-17</t>
  </si>
  <si>
    <t>VAS</t>
  </si>
  <si>
    <t>Likert 0-3</t>
  </si>
  <si>
    <t>n withdrew due to AE</t>
  </si>
  <si>
    <t>n included in analysis</t>
  </si>
  <si>
    <t>n serious AE</t>
  </si>
  <si>
    <t>Random sequence generation</t>
  </si>
  <si>
    <t xml:space="preserve">Allocation concealment </t>
  </si>
  <si>
    <t xml:space="preserve">Blinding of participants and personnel </t>
  </si>
  <si>
    <t xml:space="preserve">Blinding of outcome assessment </t>
  </si>
  <si>
    <t xml:space="preserve">Incomplete outcome data </t>
  </si>
  <si>
    <t xml:space="preserve">Selective reporting </t>
  </si>
  <si>
    <t>Other bias</t>
  </si>
  <si>
    <t>Judgment (Low, Unclear, High)</t>
  </si>
  <si>
    <t>Support</t>
  </si>
  <si>
    <t>Dupilumab with concomitant topical corticosteroid treatment in adults with atopic dermatitis with an inadequate response or intolerance to ciclosporin A or when this treatment is medically inadvisable: a placebo-controlled, randomized phase III clinical trial (LIBERTY AD CAFE)</t>
  </si>
  <si>
    <t>16 weeks; 28 week open extension and safety follow-up</t>
  </si>
  <si>
    <t>Proportion of patients with EASI-75 at week 16</t>
  </si>
  <si>
    <t>Czech Germany 2000</t>
  </si>
  <si>
    <t>Granlund Finland 2001</t>
  </si>
  <si>
    <t>Sowden UK 1991</t>
  </si>
  <si>
    <t>Jang Korea 2000</t>
  </si>
  <si>
    <t>Jee Korea 2011</t>
  </si>
  <si>
    <t>El-Khalawany Egypt 2013</t>
  </si>
  <si>
    <t>Iyengar USA 2013</t>
  </si>
  <si>
    <t xml:space="preserve">2.41
</t>
  </si>
  <si>
    <t>Eczema Disability Index</t>
  </si>
  <si>
    <t>Dupilumab 300 mg qweek</t>
  </si>
  <si>
    <t>Peak weekly pruritus NRS</t>
  </si>
  <si>
    <t>Low</t>
  </si>
  <si>
    <t>Quote: "...a central randomisation scheme provided by an interactive voice response system.." Comment: sufficiently described in protocol, page 28</t>
  </si>
  <si>
    <t>Quote: "Placebo matching REGN668 is prepared in the same formulation as REGN668 without the addition of protein". Comment: sufficiently described in protocol, page 27</t>
  </si>
  <si>
    <t>According to protocol: last observation carried forward (LOCF) method used to impute missing values</t>
  </si>
  <si>
    <t>All outcomes were reported</t>
  </si>
  <si>
    <t>No reason to suspect other bias</t>
  </si>
  <si>
    <t>High</t>
  </si>
  <si>
    <t>This was an open-label trial, as blinding impossible. One group received oral cyclosporine, the other group immunoglobulin (Sandglobulin-Novartis), as slow IV infusion</t>
  </si>
  <si>
    <t>Exclusion of patients due to poor cooperation</t>
  </si>
  <si>
    <t>Not all outcomes, that were listed in the methods section, have been reported</t>
  </si>
  <si>
    <t>Different age distribution in study groups that was not controlled for</t>
  </si>
  <si>
    <t>Quote: ".. treatment was randomised balanced block of four using computer-generated numbers ...". Comment: sufficiently described in publication</t>
  </si>
  <si>
    <t>Quote: "both treatments were provided in sealed gelatine capsules identical in appearance, taste and smell". Comment: sufficiently described in publication</t>
  </si>
  <si>
    <t>Intention-to-treat, but 44% drop outs and but no information on handling of missing data</t>
  </si>
  <si>
    <t>Quote: "...computer-generated randomizaton schedule...". Comment: sufficiently described in publication</t>
  </si>
  <si>
    <t>Only 3% drop outs and ITT analysis</t>
  </si>
  <si>
    <t>Comparison of different dosing regimens of one drug without placebo group</t>
  </si>
  <si>
    <t>Quote: "The patients were randomly (computer-generated simple randomisation method) divided into two equal groups" Comment: sufficient information available from publication</t>
  </si>
  <si>
    <t>open label</t>
  </si>
  <si>
    <t>Open label</t>
  </si>
  <si>
    <t>No drop-outs</t>
  </si>
  <si>
    <t>No reason for other bias</t>
  </si>
  <si>
    <t>Matching placebo</t>
  </si>
  <si>
    <t>Handling of drop outs unclear</t>
  </si>
  <si>
    <t>Quote: "A randomisation sequence generated by Genentech. Inc. biostatistics group was used. Patients were randomised to treatment arm according to a dynamic, adaptive randomisation scheme..." Comment: sufficiently described in publication</t>
  </si>
  <si>
    <t>Sufficiently described in publication: placebo and active treatment were both administered as injections</t>
  </si>
  <si>
    <t>No Intention to treat</t>
  </si>
  <si>
    <t>Double blind</t>
  </si>
  <si>
    <t>Unvalidated new outcome measure</t>
  </si>
  <si>
    <t>no drop outs</t>
  </si>
  <si>
    <t>Unclear if patients dropped out, unclear if ITT was performed</t>
  </si>
  <si>
    <t>No clear information on funding and conflict of interest</t>
  </si>
  <si>
    <t>12 % drop outs, but no intention to treat or information on handling of missing data</t>
  </si>
  <si>
    <t>All outcomes reported</t>
  </si>
  <si>
    <t>Quote: "Treatment allocation was done with minimization (minim computer program, version 1.5) by an independent clinician..." Comment: sufficiently described in publication</t>
  </si>
  <si>
    <t>Quote: "Neither investigator nor patient knew which treatment had been allocated..." Comment: sufficiently described in publication</t>
  </si>
  <si>
    <t>Quote: "...identical placebo capsules..." Comment: sufficiently described in publication</t>
  </si>
  <si>
    <t>21% drop outs, no information on handling of missing data</t>
  </si>
  <si>
    <t>No drop outs</t>
  </si>
  <si>
    <t>AUC analysis with different baseline values was not corrected for</t>
  </si>
  <si>
    <t>Quote: "Randomization was performed in a 1:1 ratio by using a computerized program (TENALEA Clinical Trial Data Management System) with the (nondeterministic) minimization method described by Pocock and Simon.24 Patient factors (strata) did not influence the allocation scheme" Comment: sufficiently described in publication</t>
  </si>
  <si>
    <t>Quote: "Concealment of allocation was achieved by using a computerized program" Comment: sufficiently described in publication</t>
  </si>
  <si>
    <t>Quote: "Patients and safety assessors were not blinded" Comment: patients were not blinded</t>
  </si>
  <si>
    <t>Quote: "Clinical outcome measurements were assessed by trained efficacy assessors, who were blinded for allocation" Comment: sufficiently described in publication, assessor blinded</t>
  </si>
  <si>
    <t>10% drop outs, intention-to-treat</t>
  </si>
  <si>
    <t>Quote: "Randomisation was stratified by disease severity (moderate [IGA=3] vs severe [IGA=4]) and region (Japan vs rest of world). We used a central randomisation scheme, provided by an interactive voice response system to the designated study pharmacist or qualified designee." Comment: sufficiently described in publication</t>
  </si>
  <si>
    <t>Quote: Study patients, principal investigators, study centre personnel, Regeneron and Sanofi personnel, and contract research organisation personnel in regular contact with study centres were masked to treatment assignment during the study, and allocation was concealed." Comment: sufficiently described in publication</t>
  </si>
  <si>
    <t>9% drop out, last observation carried forward method for missing data</t>
  </si>
  <si>
    <t>% Change from baseline</t>
  </si>
  <si>
    <t>% Change SE</t>
  </si>
  <si>
    <t>% Change SD</t>
  </si>
  <si>
    <t xml:space="preserve">
 v</t>
  </si>
  <si>
    <t>international/multi-centre</t>
  </si>
  <si>
    <t>dp</t>
  </si>
  <si>
    <t>EASI 50 at week16</t>
  </si>
  <si>
    <t>Goujon France 2018</t>
  </si>
  <si>
    <t>Methotrexate Versus Cyclosporine in Adults with Moderate-to-Severe Atopic Dermatitis: A Phase III Randomized Noninferiority Trial</t>
  </si>
  <si>
    <t>France/ multicentre</t>
  </si>
  <si>
    <t>Proportion of patients achieving SCORAD 50 at 8 weeks</t>
  </si>
  <si>
    <t>Simpson USA 2018 Apremilast</t>
  </si>
  <si>
    <t>A Phase 2 Randomized Trial of Apremilast in Patients With Atopic Dermatitis</t>
  </si>
  <si>
    <t>Percentage change in EASI score from baseline to week 12</t>
  </si>
  <si>
    <t xml:space="preserve"> Anti–Interleukin-31 Receptor A Antibody for Atopic Dermatitis</t>
  </si>
  <si>
    <t>International/ multi-centre</t>
  </si>
  <si>
    <t>Emolient; topical steroid rescue if no response at week 4</t>
  </si>
  <si>
    <t>12 weeks</t>
  </si>
  <si>
    <t>Percentage improvement between baseline and week 12 in the score on the pruritus visual-analogue scale</t>
  </si>
  <si>
    <t>Simpson USA 2018 Lebrikizumab</t>
  </si>
  <si>
    <t>Efficacy and safety of lebrikizumab (an anti-IL-13 monoclonal antibody) in adults with moderate-to-severe atopic dermatitis inadequately controlled by topical corticosteroids: A randomized, placebo-controlled phase II trial (TREBLE).</t>
  </si>
  <si>
    <t>Hydrocortisone 2.5% and Triamcinolone 0.1%</t>
  </si>
  <si>
    <t>12 weeks; 20 weeks</t>
  </si>
  <si>
    <t>Treatment of atopic dermatitis with tralokinumab, an anti–IL-13 mAb</t>
  </si>
  <si>
    <t>Class 3 topical steroids</t>
  </si>
  <si>
    <t>12 weeks; 22 weeks</t>
  </si>
  <si>
    <t>Change in EASI score from baseline to week 12 and percentage of participants achieving IGA 0/1 with a 2 point reduction at week 12</t>
  </si>
  <si>
    <t>Simpson USA 2019 Tezepelumab</t>
  </si>
  <si>
    <t>Tezepelumab, an anti-TSLP monoclonal antibody, in the treatment of moderate to severe atopic dermatitis: A randomized phase 2a clinical trial</t>
  </si>
  <si>
    <t>Percentage of patients achieving EASI-50 at week 12</t>
  </si>
  <si>
    <t>Efficacy and safety of the histamine H4 receptor antagonist ZPL-3893787 in patients with atopic dermatitis</t>
  </si>
  <si>
    <t>8 weeks; 12 weeks</t>
  </si>
  <si>
    <t>Efficacy and safety of fezakinumab (an IL-22 monoclonal antibody) in adults with moderate-to-severe atopic dermatitis inadequately controlled by conventional treatments: A randomized, double-blind, phase 2a trial.</t>
  </si>
  <si>
    <t>USA/Two centres</t>
  </si>
  <si>
    <t>Change from baseline to week 12 in SCORAD</t>
  </si>
  <si>
    <t>Efficacy and safety of ustekinumab in Japanese patients with severe atopic dermatitis: a randomized, double-blind, placebo-controlled, phase II study</t>
  </si>
  <si>
    <t>Ustekinumab 45 mg SC at weeks 0 and 4</t>
  </si>
  <si>
    <t>Emollients, topical steroids, calcineurin inhibitors, herbal treatments, antileukotriene therapies</t>
  </si>
  <si>
    <t>Percentage change in EASI to week 12</t>
  </si>
  <si>
    <t>Ustekinumab 90 mg SC at weeks 0 and 4</t>
  </si>
  <si>
    <t>Efficacy and safety of ustekinumab treatment in adults with moderate-to-severe atopic dermatitis.</t>
  </si>
  <si>
    <t>USA/Single centre</t>
  </si>
  <si>
    <t>triamcinolone acetonide (0.025%) cream</t>
  </si>
  <si>
    <t>16 weeks; 40 weeks</t>
  </si>
  <si>
    <t>Moderate-severe atopic dermatitis (EASI ≥12 BSA and &gt;10%)</t>
  </si>
  <si>
    <t>Moderate-to-severe atopic dermatitis eligible for systemic treatment, SCORAD &gt;15</t>
  </si>
  <si>
    <t>AD-affected body surface area ≥10%, EASI score ≥12, and sPGA-A score ≥3</t>
  </si>
  <si>
    <t>EASI ≥10, Pruritus VAS &gt;50 mm, 3/5 sIGA</t>
  </si>
  <si>
    <t>18-75 years</t>
  </si>
  <si>
    <t>EASI ≥14, IGA≥3, BSA≥10%, Pruritus VAS ≥3</t>
  </si>
  <si>
    <t>EASI ≥12, IGA≥3, BSA≥10%, SCORAD ≥20</t>
  </si>
  <si>
    <t>18-65 years</t>
  </si>
  <si>
    <t>EASI 12-48, IGA≥3, mean Peak Pruritus NRS ≥5 over 1 week, BSA ≥10</t>
  </si>
  <si>
    <t>18-75 years old</t>
  </si>
  <si>
    <t>SCORAD ≥30, IGA ≥3</t>
  </si>
  <si>
    <t>20-65 years</t>
  </si>
  <si>
    <t>NRS</t>
  </si>
  <si>
    <t>Peak NRS</t>
  </si>
  <si>
    <t>Average pruritus NRS</t>
  </si>
  <si>
    <t>Peak pruritus NRS</t>
  </si>
  <si>
    <t>ADIS - morning</t>
  </si>
  <si>
    <t>ADIS - evening</t>
  </si>
  <si>
    <t>Guttman-Yassky
USA
2018
Baricitinib</t>
  </si>
  <si>
    <t>Topical steroids once daily</t>
  </si>
  <si>
    <t>18-65</t>
  </si>
  <si>
    <t>Pruritus VAS</t>
  </si>
  <si>
    <t xml:space="preserve">Moisturizers BID; rescue therapy with topical or systemic medication at invetigators' discretion
</t>
  </si>
  <si>
    <t>Moisturizers BID, Topical steroids and calcineurin inhibitors;  rescue therapy with topical, phototherapy or systemic medication at invetigators' discretion</t>
  </si>
  <si>
    <t>Co-primary at week 16: 1) IGA 0 or 1 and reduction of at least 2 points; 2) Proportion of patient with EASI-75</t>
  </si>
  <si>
    <t>Triamcinolone cream</t>
  </si>
  <si>
    <t>Low potency topical steroids</t>
  </si>
  <si>
    <t>12 weeks then additional 12 weeks re-randomization of placebo group</t>
  </si>
  <si>
    <t>Moderate-severe atopic dermatitis IGA 3 or 4 /4 and EASI ≥16, BSA ≥10, Pruritus NRS  ≥3</t>
  </si>
  <si>
    <t>Moderate-severe atopic dermatitis IGA 3 or 4 /4 and EASI ≥16</t>
  </si>
  <si>
    <t>Rajka and Langeland 8-9, EASI ≥12, IGA ≥4</t>
  </si>
  <si>
    <t>BSA ≥10, EASI ≥12, SCORAD ≥25, IGA ≥3</t>
  </si>
  <si>
    <t>16 weeks; 24 weeks</t>
  </si>
  <si>
    <t>Original article / NEJM
English + Tsianakas</t>
  </si>
  <si>
    <t>Berth Jones UK 2002</t>
  </si>
  <si>
    <t>Bemanian Iran 2005</t>
  </si>
  <si>
    <t>Munro UK 1994</t>
  </si>
  <si>
    <t>Pacor Italy 2004</t>
  </si>
  <si>
    <t>Hanifin USA 1993</t>
  </si>
  <si>
    <t>Schram Holland 2011</t>
  </si>
  <si>
    <t>Thaci Germany 2015</t>
  </si>
  <si>
    <t xml:space="preserve">Original article / Lancet
English + Simpson Dupi PROs
</t>
  </si>
  <si>
    <t>Topical steroids and tacrolimus during first 4 weeks, moisturizer, antihistamines, oral antiobitics throughout</t>
  </si>
  <si>
    <t>Dupilumab does not affect correlates of vaccine-induced immunity: A randomized, placebo-controlled trial in adults with moderate-to-severe atopic dermatitis</t>
  </si>
  <si>
    <t>USA/ multi-centre</t>
  </si>
  <si>
    <t>Topical calcineurin inhibitors and steroids permitted</t>
  </si>
  <si>
    <t>Response to tetanus vaccine at week 16</t>
  </si>
  <si>
    <t>Emollients, rescue with 0.1% mometasone cream.</t>
  </si>
  <si>
    <t>Proportion of patients with 50% decrease in O-SCORAD at week 16</t>
  </si>
  <si>
    <t>Dupilumab progressively improves systemic and cutaneous abnormalities in patients with atopic dermatitis</t>
  </si>
  <si>
    <t>no additional treatment allowed</t>
  </si>
  <si>
    <t>Mean percentage change from baseline to week 16 in EASI scores</t>
  </si>
  <si>
    <t>GBR 830, an anti-OX40, improves skin gene signatures and clinical scores in patients with atopic dermatitis.</t>
  </si>
  <si>
    <t>GBR 830 10 mg/kg IV on day 1 and 29</t>
  </si>
  <si>
    <t>Treatment-emergent adverse events and biopsy epidermal hyperplasia and mRNA signature</t>
  </si>
  <si>
    <t>16 weeks; 88 weeks</t>
  </si>
  <si>
    <t>Percent improvement in EASI at week 16</t>
  </si>
  <si>
    <t>Efficacy and Safety Study of QAW039 in the Treatment of Patients With Moderate to Severe Atopic Dermatitis.</t>
  </si>
  <si>
    <t>Change in EASI at week 12</t>
  </si>
  <si>
    <t xml:space="preserve"> d/p</t>
  </si>
  <si>
    <t>12 weeks; 16 weeks</t>
  </si>
  <si>
    <t>Percentage of Participants Achieving the Investigator's Global Assessment (IGA) for Clear (0) or Almost Clear (1) and &gt;=2 Points Improvement From Baseline at Week 12</t>
  </si>
  <si>
    <t>IGA 3 or 4/4 and EASI ≥20 and BSA ≥10%</t>
  </si>
  <si>
    <t>SCORAD &gt;=15 which could not be managed with conventional therapy</t>
  </si>
  <si>
    <t>18-64 years</t>
  </si>
  <si>
    <t>Moderate-severe AD, EASI ≥12, IGA≥3, BSA≥10%, SCORAD ≥20</t>
  </si>
  <si>
    <t>EASI ≥16, IGA≥3, BSA≥10%</t>
  </si>
  <si>
    <t>EASI ≥15</t>
  </si>
  <si>
    <t>EASI ≥12, IGA≥3, BSA≥10%</t>
  </si>
  <si>
    <t>EASI ≥16</t>
  </si>
  <si>
    <t>Moderate-severe atopic dermatitis IGA ≥3, EASI ≥16, BSA ≥10</t>
  </si>
  <si>
    <t>QoLIAD</t>
  </si>
  <si>
    <t>Pruritus NRS</t>
  </si>
  <si>
    <t>Khattri USA 2017</t>
  </si>
  <si>
    <t>Diseases activity score</t>
  </si>
  <si>
    <t>Duration of active treatment (weeks)</t>
  </si>
  <si>
    <t>Ruzicka Germany 2017</t>
  </si>
  <si>
    <t>Guttman-Yassky USA 2019 GBR 830</t>
  </si>
  <si>
    <t>Guttman-Yassky USA 2019 Dupilumab</t>
  </si>
  <si>
    <t xml:space="preserve">
de Bruin-Weller Netherlands 2018 </t>
  </si>
  <si>
    <t>Beck
USA
2014</t>
  </si>
  <si>
    <t xml:space="preserve">Blauvelt USA 2017 </t>
  </si>
  <si>
    <t>Simpson USA 2016 SOLO2</t>
  </si>
  <si>
    <t>Wollenberg USA 2018</t>
  </si>
  <si>
    <t>Werfel Germany 2018</t>
  </si>
  <si>
    <t>Saeki Japan 2017</t>
  </si>
  <si>
    <t>Blauvelt USA 2018</t>
  </si>
  <si>
    <t>Azathioprine 0.5 mg/kg or 1.0 mg/kg PO OD first 4 weeks, then 1.0 mg/kg  or 2.5 mg/kg PO OD</t>
  </si>
  <si>
    <t>IVIG 2 g/kg x1</t>
  </si>
  <si>
    <t>INF-y 50 ug/m2 SC OD</t>
  </si>
  <si>
    <t>UVAB Phototherapy up to maximal doses of 15 J/cm2 of UVA and 0.26 J/cm2 of UVB 2-3/week</t>
  </si>
  <si>
    <t>Tacrolimus 0.1% ointment BID</t>
  </si>
  <si>
    <t>Topical anti-inflammatory y/n</t>
  </si>
  <si>
    <t>y</t>
  </si>
  <si>
    <t>n</t>
  </si>
  <si>
    <t>Azathioprine 2.5 mg/kg OD</t>
  </si>
  <si>
    <t>Original article / BJD</t>
  </si>
  <si>
    <t>INF-y 1.5 × 106 IU/m3 SC 3x/week</t>
  </si>
  <si>
    <t>INF-Y 0.5 × 106 IU/m3 SC 3x/week</t>
  </si>
  <si>
    <t>placebo</t>
  </si>
  <si>
    <t>TBSA Score</t>
  </si>
  <si>
    <t>Baricitinib 2 mg PO OD</t>
  </si>
  <si>
    <t>Baricitinib 4 mg PO OD</t>
  </si>
  <si>
    <t>Nemolizumab 0.1 mg/kg SC q4weeks</t>
  </si>
  <si>
    <t>Nemolizumab 0.5 mg/kg SC q4weeks</t>
  </si>
  <si>
    <t>Nemolizumab 2.0 mg/kg SC q4weeks</t>
  </si>
  <si>
    <t>Nemolizumab 2.0 mg/kg SC q8weeks</t>
  </si>
  <si>
    <t>Lebrikizumab 125 mg SC 1x</t>
  </si>
  <si>
    <t>Lebrikizumab 250 mg SC 1x</t>
  </si>
  <si>
    <t>Lebrikizumab 125 mg SC q4weeks</t>
  </si>
  <si>
    <t>Tralokinumab 45 mg SC q2weeks</t>
  </si>
  <si>
    <t>Tralokinumab 150 mg SC q2weeks</t>
  </si>
  <si>
    <t>Tralokinumab 300 mg SC q2weeks</t>
  </si>
  <si>
    <t>Fezakinumab IV 600 mg then 300 mg q2weeks</t>
  </si>
  <si>
    <t>Upadacitinib 7.5 mg PO OD</t>
  </si>
  <si>
    <t>Upadacitinib 15 mg PO OD</t>
  </si>
  <si>
    <t>Upadacitinib 30 mg PO OD</t>
  </si>
  <si>
    <t>QAW039 (Fevipiprant) 450 mg PO OD</t>
  </si>
  <si>
    <t>Tezepelumab 280 mg SC q2weeks</t>
  </si>
  <si>
    <t>IVIG 2.0 g/kg/month</t>
  </si>
  <si>
    <t>12 weeks; 36 weeks</t>
  </si>
  <si>
    <t>Methotrexate 10-22.5 mg PO qweek</t>
  </si>
  <si>
    <t>Azathioprine 1.5-2.5 mg/kg PO OD</t>
  </si>
  <si>
    <t>Methotrexate 5mg PO X1 then 7.5mg PO qweek</t>
  </si>
  <si>
    <t>Methotrexate 15 mg PO qweek for 8 weeks +/- increased to 25 mg PO qweek for 16 weeks if SCORAD 50 not achieved</t>
  </si>
  <si>
    <t>Cyclosporine 2.5 mg/kg PO OD for 8 weeks +/- increased to 5 mg/kg PO OD for 16 weeks if SCORAD 50 not achieved</t>
  </si>
  <si>
    <t>Ustekinumab 45 or 90 mg SC at weeks 0, 4, 16 (weight-based dosing)</t>
  </si>
  <si>
    <t>Dupilumab 400 mg then 200 mg SC qweek</t>
  </si>
  <si>
    <t>Dupilumab 600 mg x1 then 300 mg SC qweek</t>
  </si>
  <si>
    <t>Dupilumab 600mg x1 then 300 mg SC qweek</t>
  </si>
  <si>
    <t>Dupilumab 600mg x1 then 300 mg SC q2weeks</t>
  </si>
  <si>
    <t>Egypt/multi-centre</t>
  </si>
  <si>
    <t>Beck USA 2014</t>
  </si>
  <si>
    <t>Simpson USA 2016 SOLO1</t>
  </si>
  <si>
    <t xml:space="preserve">de Bruin-Weller Netherlands 2018 </t>
  </si>
  <si>
    <t>Guttman-Yassky USA 2018 Fezakinumab</t>
  </si>
  <si>
    <t>ZPL-3893787 30 mg PO OD</t>
  </si>
  <si>
    <t>Cyclosporine 5 mg/kg PO OD</t>
  </si>
  <si>
    <t>Dupilumab 600 mg x1 then 300 mg q2weeks</t>
  </si>
  <si>
    <t>Dupilumab 600 mg x1 then 300 mg qweek</t>
  </si>
  <si>
    <t>Original article / Int Arch Allergy Immunol</t>
  </si>
  <si>
    <t>Original article/ Lancet</t>
  </si>
  <si>
    <t xml:space="preserve">Aaron: Original article/ BJD
</t>
  </si>
  <si>
    <t xml:space="preserve"> Original article and CT.gov/ JAAD </t>
  </si>
  <si>
    <t>Original article/ JACI in Practice</t>
  </si>
  <si>
    <t>Original article/ JID and CT.gov</t>
  </si>
  <si>
    <t>Original article/ NEJM</t>
  </si>
  <si>
    <t>Original article,  personal communication (Bo Bang, Leo), CT.gov/ JACI/ English</t>
  </si>
  <si>
    <t>Original article and CT.gov/JAAD</t>
  </si>
  <si>
    <t>Original article/JACI</t>
  </si>
  <si>
    <t>Original article + correspondence/JAAD</t>
  </si>
  <si>
    <t>Original article/BJD</t>
  </si>
  <si>
    <t>Original article /CED</t>
  </si>
  <si>
    <t>Original article/JAAD</t>
  </si>
  <si>
    <t>CT.gov</t>
  </si>
  <si>
    <t xml:space="preserve">Original article/Iranian Journal of allergy, asthma and immunology </t>
  </si>
  <si>
    <t>Original article/Lancet</t>
  </si>
  <si>
    <t>Original article/Acta Derm Venereol</t>
  </si>
  <si>
    <t>Original article/Clin Exp Allergy</t>
  </si>
  <si>
    <t>Topical steroids, Anti histamines, Systemic and topical antibiotics</t>
  </si>
  <si>
    <t>Original article/Allergy Asthma Immunol</t>
  </si>
  <si>
    <t>Original article/J Allergy C;in Immunol</t>
  </si>
  <si>
    <t>Original article/Eur J Pediatr</t>
  </si>
  <si>
    <t xml:space="preserve">Cyclosporin 300 mg PO OD, After 2 weeks stepwise adjustment to minimum effective  dose   </t>
  </si>
  <si>
    <t>Apremilast 30 mg PO BID</t>
  </si>
  <si>
    <t>Apremilast 40 mg PO BID</t>
  </si>
  <si>
    <t>NCT01785602; Fevipiprant (QAW039)</t>
  </si>
  <si>
    <t>Original article/Lancet and BJD</t>
  </si>
  <si>
    <t>Quote: "Study patients, the principal investigators, and study site personnel (with the exception of the designated unblinded study pharmacist, or designee) will remain blinded to all randomization assignments throughout the duration of the study."; "Quote: "Placebo matching REGN668 is prepared in the same formulation as REGN668 without the addition of protein."
Comment: sufficiently described in study protocol</t>
  </si>
  <si>
    <t>Quote: "Study patients, the principal investigators, and study site personnel (with the exception of the designated unblinded study pharmacist, or designee) will remain blinded to all randomization assignments throughout the duration of the study."
Comment: sufficiently described in study protocol</t>
  </si>
  <si>
    <t>Central randomisation scheme provided by an interactive voice response system</t>
  </si>
  <si>
    <t>protocol not cited</t>
  </si>
  <si>
    <t>Baseline imbalance in SASSAD 
scores at baseline</t>
  </si>
  <si>
    <t>Insufficient information</t>
  </si>
  <si>
    <t>9/19 patients in Azathioprine arm withdrew</t>
  </si>
  <si>
    <t>not all outcomes described in methods part have been reported, protocol not cited</t>
  </si>
  <si>
    <t>Intention to treat used with last observation carried forward</t>
  </si>
  <si>
    <t>No mention of blinding</t>
  </si>
  <si>
    <t>Quote: "The study was an open, randomised, controlled, parallel-group study with 2 treatment limbs..." Comment: open-label trial</t>
  </si>
  <si>
    <t>Not blinded</t>
  </si>
  <si>
    <t>Unclear how missing data is handled</t>
  </si>
  <si>
    <t>Placebo injections</t>
  </si>
  <si>
    <t>PGA and SGA in protocol but not in results</t>
  </si>
  <si>
    <t>Baseline imbalance in SCORAD</t>
  </si>
  <si>
    <t>Unclear how missing data for SASSAD were handled</t>
  </si>
  <si>
    <t>Azathioprine and placebo were formulated as suspensions that looked and tasted alike</t>
  </si>
  <si>
    <t>A lot of early cross-over in the placebo arm</t>
  </si>
  <si>
    <t>Comment: double-blind; placebo tablets looking like cyclosporin and placebo ointment looking like tacrolimus cream; all treatments administered by a person unaware who was participating in the study</t>
  </si>
  <si>
    <t>All treatments were administered by a person unaware who was participating in the study.</t>
  </si>
  <si>
    <t>During the course of the study, the clinical investigators, research nurses and patients were unaware of the specific drugs which the patients were taking.</t>
  </si>
  <si>
    <t>25% of patients in the placebo group were crossed over prematurely and excluded</t>
  </si>
  <si>
    <t>Unblinded safety assessment</t>
  </si>
  <si>
    <t>Quote: "...identical-looking placebo...",</t>
  </si>
  <si>
    <t>We used a central randomisation scheme, provided by an interactive voice response system to the designated study pharmacist or qualified designee." Comment: sufficiently described in publication</t>
  </si>
  <si>
    <t>Drug kits were coded, providing masking to treatment assignment. Patients on regimens given every 2 weeks and every 4 weeks received volume-matched placebo.</t>
  </si>
  <si>
    <t>low</t>
  </si>
  <si>
    <t>Insufficiently described in publication</t>
  </si>
  <si>
    <t>Insufficient information available from publication or online supplements</t>
  </si>
  <si>
    <t>Insufficient information from publication</t>
  </si>
  <si>
    <t xml:space="preserve">Randomisation was stratified by disease severity (moderate [IGA=3] vs severe [IGA=4]) and region (Japan vs rest of world). </t>
  </si>
  <si>
    <t xml:space="preserve">El-Khalawany
Egypt
2013 </t>
  </si>
  <si>
    <t xml:space="preserve">Granlund
Finland
2001 </t>
  </si>
  <si>
    <t xml:space="preserve">Jang
Korea
2000 </t>
  </si>
  <si>
    <t>Quote: "Randomization was conducted by means of a central interactive voiceresponse system and was stratified according to disease severity (IGA score, 3 vs. 4) and region." Comment: sufficiently described in publication</t>
  </si>
  <si>
    <t>Quote: "Masking: Triple (Participant, Investigator, outcomes Assessor)","Blinded, coded kits containing dupilumab or placebo were used to mask the assigned treatment." Comment: sufficiently described in trial register</t>
  </si>
  <si>
    <t>Quote: "Masking: Triple (Participant, Investigator, outcomes Assessor)" Comment: sufficiently described in trial register</t>
  </si>
  <si>
    <t>Quote: "…missing values were imputed by means of the last-observation-carried-forward method.", "We performed three prespecified sensitivity analyses…with various methods to handle missing data." Comment: sufficiently described in publication</t>
  </si>
  <si>
    <t>all outcomes reported</t>
  </si>
  <si>
    <t>no reason to suspect other bias</t>
  </si>
  <si>
    <t>Blinded, coded kits containing dupilumab or placebo were used to mask the assigned treatment</t>
  </si>
  <si>
    <t>For continuous end
points, we treated data that were collected after
the use of rescue medication as missing, and
subsequently we performed multiple imputation
of missing data using the Markov-chain Monte Carlo algorithm and a regression model to generate multiple complete data sets at each time point.</t>
  </si>
  <si>
    <t>Quote: "Patients were randomly assigned (3:1:3)…using a central randomisation scheme provided by an interactive voice/web response system…" Comment: sufficiently described in publication</t>
  </si>
  <si>
    <t>Quote: "Patients were randomly assigned (3:1:3)…using a central randomisation scheme provided by an interactive voice/web response system…", The study remained blinded to all individuals (including patients, investigators, and study personnel) until the time of prespecified unblinding, except for the statistician who provided the randomisation sequence..."  Comment: sufficiently described in publication</t>
  </si>
  <si>
    <t>Quote: Patients given dupilumab q2w received matching placebo in the weeks when dupilumab was not given. Blinded study drug kits with a medication numbering system was used. Placebo was provided in identical syringes. The study remained blinded to all individuals (including patients, investigators, and study personnel) until the time of prespecified unblinding... Comment: sufficiently described in publication</t>
  </si>
  <si>
    <t>Quote: "The study remained blinded to all individuals (including patients, investigators, and study personnel) until the time of prespecified unblinding, except for the statistician who provided the randomisation sequence..." Comment: sufficiently described in publication</t>
  </si>
  <si>
    <t>Blinded study drug kits with a medication numbering system were used</t>
  </si>
  <si>
    <t>Efficacy analyses for week 52 and timecourse over each study visit were done in the subset of full analysis set patients (FAS-52) who were randomised by April 27, 2015, and would have completed the week 52 visit by April 27, 2016 (cutoff date for data submission to the US FDA).</t>
  </si>
  <si>
    <t>Quote: "At baseline, patients were randomized (1:1:1)…, using a central interactive voice-/web-response randomization system…."Comment: sufficiently described in publication</t>
  </si>
  <si>
    <t>Quote: "...using a central interactive voice-/web-response randomization system...","Except for the statistician who provided the randomization sequence, the IDMC statistician and IDMC members, the study remained blinded to all individuals…" Comment: sufficiently described in publication</t>
  </si>
  <si>
    <t>Quote: "The blinded study drug…was provided in coded kits with a medication numbering system. Except for the statistician who provided the randomization sequence, the IDMC statistician and IDMC members, the study remained blinded to all individuals…" Comment: sufficiently described in publication</t>
  </si>
  <si>
    <t>Quote: "Except for the statistician who provided the randomization sequence, the IDMC statistician and IDMC members, the study remained blinded to all individuals…" Comment: sufficiently described in publication</t>
  </si>
  <si>
    <t>Quote: "Efficacy assessment were based on the full-analysis set, which included all randomized patients, based on the treatment allocated as randomized (intention-to-treat)." and "Most patients completed the study treatment (98.2%, 100% and 95,4% in the....groups"</t>
  </si>
  <si>
    <t>The blinded study drug (dupilumab or placebo) was provided in coded kits with a medication numbering system</t>
  </si>
  <si>
    <t>Continuous end points were analysed using multiple imputation with ANCOVA</t>
  </si>
  <si>
    <t>Quote: "Patients were randomly assigned to either intravenous fezakinumab or placebo (2:1)…" Comment: not sufficiently described in publication and supplemental material; no additional information about randomization are provided</t>
  </si>
  <si>
    <t>Quote: "Patients were randomly assigned to either intravenous fezakinumab or placebo (2:1)…" Comment: not sufficiently described in publication and supplemental material; no additional information about randomization and allocation concealment are provided</t>
  </si>
  <si>
    <t>Quote: "...Patients were randomly assigned to either intrave-
nous fezakinumab or placebo…", Comment: double-blind</t>
  </si>
  <si>
    <t>Quote: "…efficacy variables were analyzed in the modified intention-to-treat (ITT) population, where any patient that started treatment was included in the analysis, and patients that stopped treatment earlier than 12 weeks (N=7, 11.6%) were defined as nonresponders." Comment: sufficiently described in publication</t>
  </si>
  <si>
    <t>From protocol: Triple (Participant, Care Provider, Investigator)</t>
  </si>
  <si>
    <t>No details</t>
  </si>
  <si>
    <t>Quote: "Patients were randomized by using an interactive response technology (IRT) system in a 4:3:3 ratio to….PAREXEL (Waltham, MA) generated the randomization schedule and maintained the IRT." Comment: sufficiently described in publication</t>
  </si>
  <si>
    <t xml:space="preserve">Low </t>
  </si>
  <si>
    <t>Quote: " Parexel (Waltham, MA) generated the randomization schedule and maintained the IRT. Investigators enrolled patients and dispensed interventions per assignment provided by the IRT." Comment: sufficiently described in publication</t>
  </si>
  <si>
    <t>Quote: "Patients, investigators, and study site personnel were blinded to treatment allocation." Comment: sufficiently described in publication</t>
  </si>
  <si>
    <t>Quote: "…last observation carried forward (LOCF) analysis was performed…" and "All randomized patients were included in the intention-to-treat population." Comment: sufficiently described in publication</t>
  </si>
  <si>
    <t>A week-16 last observation carried forward (LOCF) analysis was performed</t>
  </si>
  <si>
    <t>Quote: "Eligible patients were assigned in a 1:1 ratio to receive either methotrexate (15mg/kg/wk in a single oral dose) or cyclosporine 82.5mg/kg of body weight/d divided in 2 oral doses). The randomization was performed centrally using computer-generated random numbers..." Comment: sufficiently described in publication</t>
  </si>
  <si>
    <t>Quote: "The randomization was performed centrally using computer-generated random numbers..." Comment: sufficiently described in publication</t>
  </si>
  <si>
    <t>Quote: "Only the assessors were blind to the treatment allocation." Comment: participants and personnel were not blinded</t>
  </si>
  <si>
    <t>Quote: "Only the assessors were blind to the treatment allocation."</t>
  </si>
  <si>
    <t>Sample size decreases substantially with each time point</t>
  </si>
  <si>
    <t>All clinical outcomes reported</t>
  </si>
  <si>
    <t>Quote: "Eligible patients were randomly assigned (1:1:1) to receive placebo, apremilast 30mg twice daily, or apremilast 40mg twice daily for 12 weeks (placebo-controlled period)…with an interactive web-response or interactive voice-response system." and "At week 12, patients initially randomly assigned to receive placebo were reassigned randomly (1:1) to double-blind treatment with apremilast 30mg twice daily or 40mg twice daily through week 24..." Comment: sufficiently described in publication</t>
  </si>
  <si>
    <t>Quote: "Eligible patients were randomly assigned (1:1:1) to receive placebo, apremilast 30mg twice daily, or apremilast 40mg twice daily for 12 weeks (placebo-controlled period)…with an interactive web-response or interactive voice-response system." Comment: sufficiently described in publication</t>
  </si>
  <si>
    <t>Quote: "To maintain double-blind conditions for patients and clinical study personnel throughout the 24-week trial, assigned treatments were dispensed only by authorized personnel at each study side in coded, identically appearing blister cards containing the assigned treatment and dose." Comment: sufficiently described in publication</t>
  </si>
  <si>
    <t>Comment: Triple masking (Participant, Investigator, Outcomes Assessor) described in trial registration</t>
  </si>
  <si>
    <t>Quote: "Efficacy data were assessed in the  intention-to-treat population, which included all randomized patients who received at least one dose of study medication according to the group to which they were randomly assigned.." and "…missing values imputed using last-observation-carried-forward methodology." Comments:sufficiently described</t>
  </si>
  <si>
    <t>Comment: Pruritus Numerical rating scale at Week 12 is reported, but in study registration Week 4 should be reported</t>
  </si>
  <si>
    <t>Permuted block method</t>
  </si>
  <si>
    <t>To maintain double-blind conditions for patients and clinical study personnel throughout the 24-week trial, assigned treatments were dispensed only by authorized personnel at each study site in coded, identically appearing blister cards containing the assigned treatment/dose</t>
  </si>
  <si>
    <t>Itch NRS not reported (listed in protocol) but itch VAS is</t>
  </si>
  <si>
    <t>Quote: "Patients underwent randomization with the use of a centralized interactive voice or online response system…in a 1:1:1:1:1 ratio, with treatment assignments stratified according to geographic region." Comment: sufficiently described in publication</t>
  </si>
  <si>
    <t>Quote: "The primary efficacy end point was the percentage 
improvement between baseline and week 12 in 
the score on the pruritus visual-analogue scale,25 
which was recorded daily by patients who used 
an electronic reporting tool in a double-blind man-
ner."</t>
  </si>
  <si>
    <t>Per-protocol population used in analysis of outcomes</t>
  </si>
  <si>
    <t>Quote: "Patients were randomized 1:1:1:1…", "A blocked randomization scheme stratified by region was used with a block size of 4." Comment: sufficiently described in publication and supplementary methods</t>
  </si>
  <si>
    <t>Comment: no sufficient information about allocation concealment</t>
  </si>
  <si>
    <t>Quote: "To maintain blinding, a placebo arm was included, and all patients were administered 2 prefilled syringes on day1. Placebo patients received…syringes filled with placebo.", "Placebo was prepared with the same formulation as lebrikizumab without addition of the active agent, and both formulations were identical in appearance." Comment: sufficiently described in publication and supplementary methods</t>
  </si>
  <si>
    <t>Quote: "Participants were randomized 1:1:1:1 to receive placebo or tralokinumab….", "An Interactive Web and Voice Response System (IWRS/IVRS) was used to randomize patients to a treatment group. A patient was considered randomized into the study when the 
site staff notified the IWRS/IVRS that the patient met the study eligibility criteria and the IWRS/IVRS provided the assignment of investigational product kit numbers." Comment: sufficiently described in publication and supplementary methods</t>
  </si>
  <si>
    <t>Quote: "This was a double-blind study in which patients, investigators, and sponsor staff were blinded to the treatment received. Tralokinumab and placebo are visually distinct when stored in vials and are not matched for viscosity; however, they cannot be visually distinguished when drawn into a syringe. Therefore, to ensure appropriate blinding in the study, investigational product was handled by an unblinded investigational product manager at the site and was administered by an unblinded study team member who was not involved in the management of patients." Comment: sufficiently described in publication and supplementary methods</t>
  </si>
  <si>
    <t>Quote: "The primary population for analysis was the intention-to-treat (ITT) population…", "For continuous end points, no imputation for
missing data was applied. For binary end points, a last observation carried
forward approach was used."  Comment: handling of drop-outs sufficiently described</t>
  </si>
  <si>
    <t>Quote: "…a subject identification (SID) number was assigned by a central interactive voice/web response system. The SID number was used to identify the patient during the screening process ans throughout study participation, if applicable.", "…patients were randomized 1:1...to receive placebo or tezepelumab..." Comment: sufficiently described in publication and supplementary material</t>
  </si>
  <si>
    <t>Quote: "Each patient received tezepelumab 280 mg or placebo as one 1 ml subcutaneous (SC) injection…", "The patient…and the investigator or sponsor staff were blinded to the treatment received…Since tezepelumab and placebo are not identical, an unblinded investigational product manager prepared the study treatment...The study treatment was than administered by a blinded-study team member." Comment: sufficiently described in publication and supplementary material</t>
  </si>
  <si>
    <t>Quote: "The patient…and the investigator or sponsor staff were blinded to the treatment received…Since tezepelumab and placebo are not identical, an unblinded investigational product manager prepared the study treatment...The study treatment was than administered by a blidned-study team member." Comment: sufficiently described in publication and supplementary material</t>
  </si>
  <si>
    <t>Smaller sample size than randomized used in efficacy analysis (CT.gov)</t>
  </si>
  <si>
    <t>Each study site maintained a written plan detailing which staff members were blinded or unblinded, and the process of study treatment preparation used to maintain the blind.</t>
  </si>
  <si>
    <t>Quote: "Patients were randomized by using a 2:1 allocation to receive oral ZPL-3893783 (30 mg) or placebo once daily for 8 weeks.", "A computer-generated pseudorandom code generated by using the method of permuted blocks was used to assign patients to treatment within each stratum. Randomization occurred through an interactive Web-based system." Comment: sufficiently described in publication</t>
  </si>
  <si>
    <t>Quote: "A computer-generated pseudorandom code generated by using the method of permuted blocks was used to assign patients to treatment within each stratum. Randomization occurred through an interactive Web-based system." Comment: sufficiently described in publication</t>
  </si>
  <si>
    <t>Quote: "...to receive oral ZPL-3893783 (30 mg) or
placebo once daily for 8 weeks…" Comment: double-blind</t>
  </si>
  <si>
    <t>Comment: in trial registration  masking of outcome assessor is defined</t>
  </si>
  <si>
    <t>Multiple imputation; similar results using full analysis set and per-protocol populations; different results in the worst-case imputation indicating the main results are biased to the null</t>
  </si>
  <si>
    <t>No reason to suspect unblinding</t>
  </si>
  <si>
    <t>Quote: "Eligible patients were randomized (1:1:1)  to receive ustekinumab…or placebo subcutaneously…The study randomization, based on a computer-generated randomization schedule, was balanced using permuted blocks." Comment: sufficiently described in publication</t>
  </si>
  <si>
    <t>Quote: "All patients, investigators and the study sponsor were blinded to treatment allocation and the blinding was maintained until all patients completed the study and the database was locked." Comment: sufficiently described in publication</t>
  </si>
  <si>
    <t>Quote: "Missing data were imputed using last observation carried forward. The full analysis set (for efficacy analyses) was based on all randomized patients who received at least one administration of the study treatment…" Comment: sufficiently described in publication</t>
  </si>
  <si>
    <t>Quote: "Patients underwent 1:1 randomization using a computer-generated subject randomization table by an unblinded pharmacist." Comment: sufficiently described in publication</t>
  </si>
  <si>
    <t>Quote: "…patients received ustekinumab and placebo as injections…" Comment: double-blind</t>
  </si>
  <si>
    <t>Quote: "Subjects that withdrew from the study before completing 4 weeks (and a lesional biopsy at 4 weeks) were considered treatment failures. For subjects who dropped out after this time point, the last visit was considered as our primary endpoint (last observation carried forward)." Comment: handling of missing data is described</t>
  </si>
  <si>
    <t>Double (Participant, Investigator)</t>
  </si>
  <si>
    <t>Pre-specified outcomes reported</t>
  </si>
  <si>
    <t>Quote: "Patients were randomized (1:1)
via an interactive response technology system to
subcutaneous dupilumab or placebo…" Comment: sufficiently described in publication</t>
  </si>
  <si>
    <t>Quote: "Dupilumab (300 mg) or placebo were adminis-
tered subcutaneously weekly. A 600-mg loading
dose of dupilumab or matching placebo was
administered on day 1. ", "Patients and personnel involved were blinded to all randomization assignments." Comment: double-blind, sufficiently described in publication</t>
  </si>
  <si>
    <t xml:space="preserve"> "Patients and personnel involved were blinded to all randomization assignments." Comment: sufficiently described in publication</t>
  </si>
  <si>
    <t>Quote: "Analyses included all randomized patients
who received any study drug or vaccine injection and
had measured responses to the tetanus toxoid vac-
cine.", " patients with missing values were
excluded."</t>
  </si>
  <si>
    <t>Efficacy data were set to missing after rescue treatment was used or a patient discontinued</t>
  </si>
  <si>
    <t>Quote: "A central randomization scheme was used and provided by an interactive response technology system to the designated study pharmacist or qualified designee.", "Patients were randomized 1:1..." Comment: sufficiently described in publication and supplementary tables</t>
  </si>
  <si>
    <t>Quote: "A central randomization scheme was used and provided by an interactive response technology
system to the designated study pharmacist or qualified designee." Comment: sufficiently described in publication and supplementary tables</t>
  </si>
  <si>
    <t>double-blind, " Drug kits were coded, masking
the treatment assigned." Comment: sufficiently described in publication and supplementary tables</t>
  </si>
  <si>
    <t>double-blind, " Drug kits were coded, masking
the treatment assigned." Comment: sufficiently described in publication and supplementary tables; Quadruple masking (Participant, Care provider, Investigator, Outcomes Assessor) described in trial registration</t>
  </si>
  <si>
    <t>all outcomes reported in publication and online supplementary tables</t>
  </si>
  <si>
    <t>Missing values for primary and secondary continuous variables were imputed using the last observation carried forward method while data were set to missing after rescue medication.</t>
  </si>
  <si>
    <t>Quote: " Eligible subjects were randomized 3:1 to receive intravenous GBR 830
(10 mg/kg) or corresponding placebo by using a computer-generated scheme reviewed and approved by an independent statistician." Comment: sufficiently described in publication</t>
  </si>
  <si>
    <t>Quote: " Subjects received 2
intravenous infusions of GBR 830 or placebo on days 1 and 29..." Comment: double-blind</t>
  </si>
  <si>
    <t>Comment: Quadruple masking (Participant, Care provider, Investigator, Outcomes Assessor) described in trial registration</t>
  </si>
  <si>
    <t>Intention to treat. mixed-models repeated measures
approach</t>
  </si>
  <si>
    <t>DLQI not reported</t>
  </si>
  <si>
    <t>Study drugs were identical in appearance</t>
  </si>
  <si>
    <t>Quote: "Missing data were handled by last‐observation‐car-ried‐forward (continuous variables) and non‐responder‐imputation(categorical variables)."</t>
  </si>
  <si>
    <t>Quote: "randomized" Comment: no sufficient information about random sequence generation</t>
  </si>
  <si>
    <t>Quote: "randomized" Comment: no sufficient information about allocation concealment</t>
  </si>
  <si>
    <t>Quote: "Experimental: QAW039: Participants received QAW039 450 mg daily by mouth. Drug: QAW039 Capsules Placebo Comparator: Placebo Participants received matching placebo to QAW039. Comment: double-blind</t>
  </si>
  <si>
    <t xml:space="preserve">Unclear </t>
  </si>
  <si>
    <t>Patients missing an EASI score at week 12 were considered nonresponders.</t>
  </si>
  <si>
    <t>Quote: "Primary and secondary efficacy analyses included all patients who were randomized and received ≥1 dose of study drug and were analyzed according to the treament assigned at randomization.", "...using a mixed-effects model...Missing data
were implicitly imputed by the model (assuming
missing at random)." Comment: sufficiently described in supplementary methods</t>
  </si>
  <si>
    <t>Original article and personal communication / JAAD</t>
  </si>
  <si>
    <t xml:space="preserve">Cyclosporine 5 mg/kg PO OD </t>
  </si>
  <si>
    <t>Cyclosporine 4 mg/kg PO OD</t>
  </si>
  <si>
    <t xml:space="preserve">Cyclosporine 150 mg PO OD. After 2 weeks stepwise adjustment to minimum effective dose </t>
  </si>
  <si>
    <t>Cyclosporine 3 mg/kg PO OD</t>
  </si>
  <si>
    <t>Meggitt
UK
2006</t>
  </si>
  <si>
    <t>Meggitt UK 2006</t>
  </si>
  <si>
    <t>Mean age</t>
  </si>
  <si>
    <t>Mean severity at baseline</t>
  </si>
  <si>
    <t>Percent women (%)</t>
  </si>
  <si>
    <t>SASSAD 39.7</t>
  </si>
  <si>
    <t>SASSAD 33.6</t>
  </si>
  <si>
    <t>SASSAD 32.3</t>
  </si>
  <si>
    <t>SASSAD 32.7</t>
  </si>
  <si>
    <t>SCORAD 79*</t>
  </si>
  <si>
    <t>total group 34years</t>
  </si>
  <si>
    <t>total group 42%</t>
  </si>
  <si>
    <t>TBSA 59.0</t>
  </si>
  <si>
    <t>TBSA 60.7</t>
  </si>
  <si>
    <t>SCORAD 48.5</t>
  </si>
  <si>
    <t>SCORAD 46.8</t>
  </si>
  <si>
    <t>total group 29years</t>
  </si>
  <si>
    <t>total group 63%</t>
  </si>
  <si>
    <t>SCORAD 73.7</t>
  </si>
  <si>
    <t>SCORAD 69.0</t>
  </si>
  <si>
    <t>Disease severity ( six defined body sites) 40 *</t>
  </si>
  <si>
    <t>Disease severity ( six defined body sites) 46*</t>
  </si>
  <si>
    <t>TCS 12.7</t>
  </si>
  <si>
    <t>TCS 12.2</t>
  </si>
  <si>
    <t xml:space="preserve">TCS19.4 </t>
  </si>
  <si>
    <t>TCS 18.4</t>
  </si>
  <si>
    <t>TCS 20.1</t>
  </si>
  <si>
    <t>SCORAD 61.5</t>
  </si>
  <si>
    <t>SCORAD 42.1</t>
  </si>
  <si>
    <t>SCORAD 57.2</t>
  </si>
  <si>
    <t>SCORAD 58.4</t>
  </si>
  <si>
    <t>SCORAD 57.9</t>
  </si>
  <si>
    <t>SCORAD 56.5</t>
  </si>
  <si>
    <t>EASI 28.4</t>
  </si>
  <si>
    <t>EASI 30.8</t>
  </si>
  <si>
    <t>EASI 30.1</t>
  </si>
  <si>
    <t>EASI 32.9</t>
  </si>
  <si>
    <t>EASI 33.8</t>
  </si>
  <si>
    <t>EASI 29.4</t>
  </si>
  <si>
    <t>EASI 32.2</t>
  </si>
  <si>
    <t>SCORAD 73.5</t>
  </si>
  <si>
    <t>SCORAD 80.75</t>
  </si>
  <si>
    <t>Median EASI: 29.8</t>
  </si>
  <si>
    <t>Median EASI: 31.8</t>
  </si>
  <si>
    <t>Median 39</t>
  </si>
  <si>
    <t>Median 38</t>
  </si>
  <si>
    <t>Median 35.0</t>
  </si>
  <si>
    <t>Median: 38.0</t>
  </si>
  <si>
    <t>Median 39.0</t>
  </si>
  <si>
    <t>Median 34.0</t>
  </si>
  <si>
    <t>Median: 40.5</t>
  </si>
  <si>
    <t>Median EASI: 29.0, SCORAD 65.3</t>
  </si>
  <si>
    <t>Median EASI: 30.9, SCORAD 69.7</t>
  </si>
  <si>
    <t>edian EASI: 29.6, SCORAD 64.1</t>
  </si>
  <si>
    <t>Median EASI: 31.1</t>
  </si>
  <si>
    <t>Median EASI: 31.7</t>
  </si>
  <si>
    <t>Median EASI: 31.6</t>
  </si>
  <si>
    <t>Median 37.5</t>
  </si>
  <si>
    <t>Median 38.0</t>
  </si>
  <si>
    <t>Median EASI: 22.1</t>
  </si>
  <si>
    <t>Median EASI: 19.5</t>
  </si>
  <si>
    <t>Median 35</t>
  </si>
  <si>
    <t>Median 32.5</t>
  </si>
  <si>
    <t>Median 42</t>
  </si>
  <si>
    <t>EASI 18</t>
  </si>
  <si>
    <t>EASI 19</t>
  </si>
  <si>
    <t>EASI 24.2</t>
  </si>
  <si>
    <t>EASI 24.0</t>
  </si>
  <si>
    <t>EASI 23.6</t>
  </si>
  <si>
    <t>EASI 32.4</t>
  </si>
  <si>
    <t>EASI 29.0</t>
  </si>
  <si>
    <t>EASI 28.6</t>
  </si>
  <si>
    <t>EASI 28.2</t>
  </si>
  <si>
    <t>EASI 24.6</t>
  </si>
  <si>
    <t>EASI 26.3</t>
  </si>
  <si>
    <t>EASI 26.9</t>
  </si>
  <si>
    <t>EASI 24.8</t>
  </si>
  <si>
    <t>EASI 26.4</t>
  </si>
  <si>
    <t>EASI 27.1</t>
  </si>
  <si>
    <t>EASI 27.3</t>
  </si>
  <si>
    <t>EASI 24.05</t>
  </si>
  <si>
    <t>EASI 24.48</t>
  </si>
  <si>
    <t>Median EASI 19.0</t>
  </si>
  <si>
    <t>Median EASI 18.70</t>
  </si>
  <si>
    <t>55.4 (non-childbearing females)</t>
  </si>
  <si>
    <t>60.6 (non-childbearing females)</t>
  </si>
  <si>
    <t>Median 31</t>
  </si>
  <si>
    <t>53.4 SCORAD</t>
  </si>
  <si>
    <t>55.5 SCORAD</t>
  </si>
  <si>
    <t>EASI 38.0</t>
  </si>
  <si>
    <t>EASI 37.4</t>
  </si>
  <si>
    <t>EASI 36.5</t>
  </si>
  <si>
    <t>Median 38.5</t>
  </si>
  <si>
    <t>Median 30.0</t>
  </si>
  <si>
    <t>SCORAD 65.40</t>
  </si>
  <si>
    <t>SCORAD 69.73</t>
  </si>
  <si>
    <t>EASI 29</t>
  </si>
  <si>
    <t>EASI 31</t>
  </si>
  <si>
    <t>EASI 30</t>
  </si>
  <si>
    <t>EASI 34</t>
  </si>
  <si>
    <t>Median 43</t>
  </si>
  <si>
    <t>EASI 25.1</t>
  </si>
  <si>
    <t>EASI 23.3</t>
  </si>
  <si>
    <t>Study reports values (V) at time points or reports changes ( c) or reports % changes (p)</t>
  </si>
  <si>
    <t>12-17 years</t>
  </si>
  <si>
    <t>Dupilumab 600 mg then 300 mg q4 weeks</t>
  </si>
  <si>
    <t>Dupilumab 600 mg then 300 mg q2 weeks OR 400 mg then 200 mg q2 weeks (weight-based)</t>
  </si>
  <si>
    <t>EASI 35.8</t>
  </si>
  <si>
    <t>EASI 35.3</t>
  </si>
  <si>
    <t>EASI 35.5</t>
  </si>
  <si>
    <t>CDLQI</t>
  </si>
  <si>
    <t>PPNRS</t>
  </si>
  <si>
    <t>16 weeks; 28 weeks</t>
  </si>
  <si>
    <t>Gooderham Canada 2019; NCT02780167; Abrocitinib (PF-04965842)</t>
  </si>
  <si>
    <t>Efficacy and Safety of Oral Janus Kinase 1 Inhibitor Abrocitinib for Patients With Atopic Dermatitis: A Phase 2 Randomized Clinical Trial</t>
  </si>
  <si>
    <t>Original article/JAMA Dermatology/CT.gov</t>
  </si>
  <si>
    <t>Antihistamines, emollients</t>
  </si>
  <si>
    <t>EASI 28.1</t>
  </si>
  <si>
    <t>EASI 22.1</t>
  </si>
  <si>
    <t>EASI 26.7</t>
  </si>
  <si>
    <t>EASI 25.4</t>
  </si>
  <si>
    <t>Abrocitinib 10 mg PO OD</t>
  </si>
  <si>
    <t>Abrocitinib 30 mg PO OD</t>
  </si>
  <si>
    <t>Abrocitinib 100 mg PO OD</t>
  </si>
  <si>
    <t>Abrocitinib 200 mg PO OD</t>
  </si>
  <si>
    <t>Silverberg USA 2019 Nemolizumab</t>
  </si>
  <si>
    <t>Phase 2B randomized study of nemolizumab in adults with moderate-to-severe atopic dermatitis and severe pruritus</t>
  </si>
  <si>
    <t>≥18 years</t>
  </si>
  <si>
    <t>IGA≥3, EASI ≥12, BSA≥10%, Pruritus categorical scale severe, Itch NRS ≥7</t>
  </si>
  <si>
    <t>Mid- or low-potency TCS and moisturizer</t>
  </si>
  <si>
    <t>Nemolizumab 20 mg sc then 10 mg q 4 weeks</t>
  </si>
  <si>
    <t>Nemolizumab 60 mg sc then 30 mg q 4 weeks</t>
  </si>
  <si>
    <t>Nemolizumab 90 mg sc then 90 mg q 4 weeks</t>
  </si>
  <si>
    <t>24 weeks; 32 weeks</t>
  </si>
  <si>
    <t>Percentage change in EASI at week 24</t>
  </si>
  <si>
    <t>Quote: "Masking: Quadruple (Participant, Care Provider, Investigator, Outcomes Assessor)"; "participants randomized to the placebo group received placebo matching 300 mg dupilumab (including doubling the amount of placebo on day 1 to match the loading dose"</t>
  </si>
  <si>
    <t>Analyses done on all randomized patients</t>
  </si>
  <si>
    <t>On CT.gov, the analyses are said to be done on the ITT population, but the "number analyzed" for each analysis is not the full data set.</t>
  </si>
  <si>
    <t>d/p</t>
  </si>
  <si>
    <t>d/P</t>
  </si>
  <si>
    <t>EASI 25.87</t>
  </si>
  <si>
    <t>EASI 24.24</t>
  </si>
  <si>
    <t>EASI 26.96</t>
  </si>
  <si>
    <t>EASI ≥16, IGA≥3, BSA≥10%, Itch NRS ≥4</t>
  </si>
  <si>
    <t>Quote: "Patients were randomly assigned (1:1:1:1:1) to receive oral
abrocitinib(200,100,30,or10mg) once daily or placebo once
daily for 12 weeks. Randomization was via an interactive response technology system."</t>
  </si>
  <si>
    <t>Quote: "Blinded abrocitinib and placebo tablets were delivered to the study sites in blister packs. Patients, investigators, and sponsors were blinded to study treatment."</t>
  </si>
  <si>
    <t>Quote: "Efficacy was assessed in the full analysis set, which was a modified intention-to-treat population that included all patients who received 1 dose or more of the study drug except for 4 patients from 1 site. Patients from this site were excluded before unmasking the database because of major protocol deviations, which included multiple monitoring findings that revealed lack of principal investigator oversight and study execution issues."</t>
  </si>
  <si>
    <t>Comment: 267 were patients randomized; but only 245 were patients analyzed for efficacy end points</t>
  </si>
  <si>
    <t>proportion of patiens achieving SCORAD50 and SCOARD75 not reported (described in trial protocol as secondary outcome, page 35)</t>
  </si>
  <si>
    <t>Quote: "Randomization was generated by the Clinical Research Organization. Treatment was assigned centrally via Interactive Response Technology (IRT). All eligible subjects were randomly assigned to one of the four treatment groups in a 1:1:1:1 ratio. A randomization number was allocated to each eligible subject at baseline by the IRT system..."
Comment: sufficiently described in supporting information</t>
  </si>
  <si>
    <t>Comment: quadruple blinding descriped in trial registration</t>
  </si>
  <si>
    <t>Adult</t>
  </si>
  <si>
    <t>Children</t>
  </si>
  <si>
    <t>All prespecified outcomes reported</t>
  </si>
  <si>
    <t>Japan/
Multicentre</t>
  </si>
  <si>
    <t xml:space="preserve">Age group </t>
  </si>
  <si>
    <t>Goujon France 2017</t>
  </si>
  <si>
    <t>Guttman-Yassky 
USA 2019 Dupilumab</t>
  </si>
  <si>
    <t>Gooderham Canada 2019</t>
  </si>
  <si>
    <t>Upadacitinib in adults with moderate to severe atopic dermatitis: 16-week results from a randomized, placebo-controlled trial</t>
  </si>
  <si>
    <t>Full text/JACI; originally Abstracts / BJD + Allergy</t>
  </si>
  <si>
    <t>Emollient</t>
  </si>
  <si>
    <t>EASI 31.4</t>
  </si>
  <si>
    <t>EASI 32.6</t>
  </si>
  <si>
    <t>Simpson USA 2020 Dupilumab adolescent</t>
  </si>
  <si>
    <t>Efficacy and Safety of Dupilumab in Adolescents With Uncontrolled Moderate to Severe Atopic Dermatitis: A Phase 3 Randomized Clinical Trial</t>
  </si>
  <si>
    <t>Full text/JAMA Dermatology; Abstract/CT.gov</t>
  </si>
  <si>
    <t>Moisturizers</t>
  </si>
  <si>
    <t>Treatment Effect of Omalizumab on Severe Pediatric Atopic Dermatitis</t>
  </si>
  <si>
    <t>UK/single centre</t>
  </si>
  <si>
    <t>Original article/JAMA Pediatrics</t>
  </si>
  <si>
    <t>4-19 years</t>
  </si>
  <si>
    <t>o-SCORAD &gt;40</t>
  </si>
  <si>
    <t>Omalizumab - weight and IgE based</t>
  </si>
  <si>
    <t>Emollients, bath additives, topical steroids, topical calcineurin inhibitors, wet wraps, oral anti-pruritics/anti-histamines, antibiotics, immunosuppressants and uv therapy. If immunosuppression or UV therapy was ongoing during
the trial, it was stabilized for the same stipulated period before randomization, and treatment was continued during the course of the intervention.</t>
  </si>
  <si>
    <t>24 weeks; 48 weeks</t>
  </si>
  <si>
    <t>Change in o-SCORAD at week 24</t>
  </si>
  <si>
    <t>EASI 45.5</t>
  </si>
  <si>
    <t>Other; medication provided by industry</t>
  </si>
  <si>
    <t>EASI 43.5</t>
  </si>
  <si>
    <t>Simpson 2020 BREEZE-AD1</t>
  </si>
  <si>
    <t>Baricitinib in patients with moderate-to-severe atopic dermatitis and inadequate response to topical corticosteroids: results from two randomized monotherapy phase III trials</t>
  </si>
  <si>
    <t>International/ multicentre</t>
  </si>
  <si>
    <t>vIGA≥3, EASI ≥16, BSA≥10%</t>
  </si>
  <si>
    <t>Baricitinib 1 mg PO OD</t>
  </si>
  <si>
    <t>Emollients</t>
  </si>
  <si>
    <t>16 weeks; 16 weeks</t>
  </si>
  <si>
    <t>Proportion of Participants Achieving vIGA Clear (0) or Almost Clear (1) and &gt;=2 Points Improvement From Baseline at Week 16</t>
  </si>
  <si>
    <t>EASI 32</t>
  </si>
  <si>
    <t>EASI32</t>
  </si>
  <si>
    <t>Simpson 2020 BREEZE-AD2</t>
  </si>
  <si>
    <t>Percentage of Participants Achieving vIGA Clear (0) or Almost Clear (1) and &gt;=2 Points Improvement From Baseline at Week 16</t>
  </si>
  <si>
    <t>EASI 33</t>
  </si>
  <si>
    <t>EASI 35</t>
  </si>
  <si>
    <t>≥12 years</t>
  </si>
  <si>
    <t>IGA≥3, EASI ≥16, BSA≥10%, Pruritus NRS≥4%</t>
  </si>
  <si>
    <t>v, p</t>
  </si>
  <si>
    <t>Chan UK 2020</t>
  </si>
  <si>
    <t>v, c</t>
  </si>
  <si>
    <t>v,c</t>
  </si>
  <si>
    <t>Guttman-Yassky USA 2019 Upadacitinib</t>
  </si>
  <si>
    <t>CDLQI/DLQI</t>
  </si>
  <si>
    <t>DLQI For 18 and older</t>
  </si>
  <si>
    <t>CDLQI For 12-17 year olds</t>
  </si>
  <si>
    <t>c, p</t>
  </si>
  <si>
    <t>Quote: "An interactive response system referring to a schedule previously generated via computer by statisticians from the study sponsor was used to randomize qualifying patients 1:1:1:1"</t>
  </si>
  <si>
    <t>Quote: "Patients, investigators, and the sponsor were blinded to allocation."</t>
  </si>
  <si>
    <t>"A secure web-based randomization system randomized participants 1:1 to receive either omalizumab or placebo. The sequence was computer generated by the UK Clinical Research Collaboration... Participants were randomized using minimization,
which minimized the imbalance across groups according to the characteristics of participants already randomized."</t>
  </si>
  <si>
    <t>"A secure web-based randomization system randomized participants 1:1 to receive either omalizumab or placebo. The sequence was computer generated by the UK Clinical Research Collaboration... Participants were randomized using minimization,
which minimized the imbalance across groups according to the characteristics of participants already randomized." "Randomization details were electronically delivered to independent pharmacists"</t>
  </si>
  <si>
    <t>"Participants, caregivers, and staff involved in outcome assessments and the investigators were masked to the treatment assignment until data analysis was complete."</t>
  </si>
  <si>
    <t>"Analysis was conducted using the intention-to-treat principle. All eligible participants were analyzed in the group to which they were randomized." Reasons for the exclusion/withdrawal of participants was described. Note: not all participants randomized ended up in analysis; 30 in each group analyzed. Sensitivity analyses examining impact of missing data</t>
  </si>
  <si>
    <t>Prespecified outcomes reported</t>
  </si>
  <si>
    <t>Simpson 2020 BREEZE-AD 1</t>
  </si>
  <si>
    <t>No details given</t>
  </si>
  <si>
    <t>"Treatment allocation was blinded to patients and investigators. At each visit, double-blind investigational products, including identical matching placebo tablets, were assigned by an interactive web response system."</t>
  </si>
  <si>
    <t>Treatment allocation was blinded to patients and investigators. At each visit, double-blind investigational products, including identical matching placebo tablets, were assigned by an interactive web response system.</t>
  </si>
  <si>
    <t>Significant missing data at week 16 in clinicaltrials.gov and discrepant from reporting in the paper.</t>
  </si>
  <si>
    <t>Simpson 2020 BREEZE-AD 2</t>
  </si>
  <si>
    <t>"A computer-generated randomization schedule will be used to assign subjects to the treatment groups using an Interactive Response Technology (IRT)."</t>
  </si>
  <si>
    <t>"Investigators, subjects and the sponsor study team will be blinded as to treatment group"</t>
  </si>
  <si>
    <t>Quote: "central randomization scheme provided by an interactive voice response system (IVRS)/interactive web response system (IWRS) to the designated study pharmacist (or qualified designee)"</t>
  </si>
  <si>
    <t>Quote: "Eligible patients were randomized (1:1:1) by an interactive voice response system and stratified by baseline Investigator’s Global Assessment (IGA) score (3 vs 4) and body weight (&lt;60 kg vs ≥60 kg)…"</t>
  </si>
  <si>
    <t>Timepoint</t>
  </si>
  <si>
    <t>Timepoint for analysis</t>
  </si>
  <si>
    <t>Guttman-Yassky USA 2020 Lebrikizumab</t>
  </si>
  <si>
    <t>Efficacy and Safety of Lebrikizumab, a High-Affinity Interleukin 13 Inhibitor, in Adults With Moderate to Severe Atopic Dermatitis: A Phase 2b Randomized Clinical Trial</t>
  </si>
  <si>
    <t>US/ multicentre</t>
  </si>
  <si>
    <t>Original article/JAMA Dermatology</t>
  </si>
  <si>
    <t>IGA≥3, EASI ≥16, BSA≥10%</t>
  </si>
  <si>
    <t>Lebrikizumab 250 mg SC 1x then 125 mg sc q4 weeks</t>
  </si>
  <si>
    <t>Percentage change in EASI at week 16</t>
  </si>
  <si>
    <t>EASI 29.9</t>
  </si>
  <si>
    <t>Lebrikizumab 500 mg SC 1x then 250 mg sc q4 weeks</t>
  </si>
  <si>
    <t>EASI 26.2</t>
  </si>
  <si>
    <t>EASI 25.5</t>
  </si>
  <si>
    <t>EASI 28.9</t>
  </si>
  <si>
    <t>Paller USA 2020 Dupilumab</t>
  </si>
  <si>
    <t>Efficacy and safety of dupilumab with concomitant topical corticosteroids in children 6 to 11 years old with severe atopic dermatitis: a randomized, double-blinded, placebocontrolled phase 3 trial</t>
  </si>
  <si>
    <t>International/multicentre</t>
  </si>
  <si>
    <t>Original article/JAAD, Personal correspondence</t>
  </si>
  <si>
    <t>6-11 years</t>
  </si>
  <si>
    <t>IGA≥4, EASI ≥21, BSA≥15%, weekly-averaged PPNRS ≥4</t>
  </si>
  <si>
    <t>Medium-potency TCS</t>
  </si>
  <si>
    <t>16 weeks; 30 weeks</t>
  </si>
  <si>
    <t>No information on sequence generation</t>
  </si>
  <si>
    <t>…"interactive web response system, and patientswere randomized…"
2:3:3:3</t>
  </si>
  <si>
    <t>"The sponsor (Dermira, Inc), investigators, study site personnel, and patients were blinded to treatment assignments, and blind integrity was maintained throughout the study. Blinded, coded kits with study drug in prefilled syringes and boxes masked the treatment assignments."</t>
  </si>
  <si>
    <t>Data unavailable for many patients for secondary endpoints "Efficacy analyses used the modified intent-to-treat population (all patients who were randomized and received study
drug regardless of rescue medication use)." Proper statistical handling of missing data, but many patients discontinued.</t>
  </si>
  <si>
    <t>"Randomization was performed using a centralized scheme, provided by an interactive response system assigned to the designated study pharmacist or qualified designee"</t>
  </si>
  <si>
    <t>"Patients and all other personnel were blinded to all randomization procedures." "Matching Placebo."</t>
  </si>
  <si>
    <t>The primary analysis was performed on the full analysis set (FAS), which included all randomized patients. 95.6% completed study treatment</t>
  </si>
  <si>
    <t>Dupilumab q 2 weeks (weight-based: 15–&lt;30 kg, 200 mg then 100 mg q2w; ≥30 kg, 400 mg then 200 mg q2w)</t>
  </si>
  <si>
    <t>Efficacy and Safety of Baricitinib Combined With Topical Corticosteroids for Treatment of Moderate to Severe Atopic Dermatitis: A Randomized Clinical Trial</t>
  </si>
  <si>
    <t>Reich Germany 2020 (BREEZE-AD7)</t>
  </si>
  <si>
    <t>Emollients; Low, medium potency TCS, TCI, crisaborole</t>
  </si>
  <si>
    <t>EASI 37.3</t>
  </si>
  <si>
    <t>EASI 39</t>
  </si>
  <si>
    <t>EASI 29.3</t>
  </si>
  <si>
    <t>EASI 30.9</t>
  </si>
  <si>
    <t>EASI 28.5</t>
  </si>
  <si>
    <t>"Patients were randomly allocated 1:1:1 by computer-generated random sequence"</t>
  </si>
  <si>
    <t>From protocol: "Assignment to treatment groups will be determined by a
computer-generated random sequence using an IWRS"</t>
  </si>
  <si>
    <t>From protocol: "placebo tablets to match baricitinib 4-mg tablets and 2-mg tablets. Patients are required to take 2 tablets daily from packages assigned by the IWRS"</t>
  </si>
  <si>
    <t>"Efficacy and health outcomes data were analyzed with the intention-to-treat population, defined as all randomized patients." Very few dropouts.</t>
  </si>
  <si>
    <t>Tralokinumab plus topical corticosteroids for the treatment of moderate-to-severe atopic dermatitis: results from the double-blind, randomized, multicentre, placebo-controlled phase III ECZTRA 3 trial</t>
  </si>
  <si>
    <t>Tralokinumab 600 mg then 300 mg q2 weeks</t>
  </si>
  <si>
    <t>TCS as needed (mometasone furoate 0.1% cream)</t>
  </si>
  <si>
    <t>Median 37</t>
  </si>
  <si>
    <t>Median 34</t>
  </si>
  <si>
    <t>Median EASI 24.7</t>
  </si>
  <si>
    <t>Median EASI 26.5</t>
  </si>
  <si>
    <t>Silverberg USA 2020 (ECZTRA3)</t>
  </si>
  <si>
    <t>"Randomization was performed using a using a computer-generated randomisation schedule stratified by region (Europe and North America) and baseline disease severity"</t>
  </si>
  <si>
    <t>Few dropouts. Multiple sensitivity analyses handling missing data in different ways</t>
  </si>
  <si>
    <t>Wollenberg Germany 2020 (ECZTRA1)</t>
  </si>
  <si>
    <t>16 weeks; 52 weeks</t>
  </si>
  <si>
    <t>Tralokinumab for moderate-to-severe atopic dermatitis: results from two 52-week, randomized, double-blind, multicentre, placebo-controlled phase III trials (ECZTRA 1 and ECZTRA 2)</t>
  </si>
  <si>
    <t>Rescue only</t>
  </si>
  <si>
    <t>Wollenberg Germany 2020 (ECZTRA2)</t>
  </si>
  <si>
    <t>Median 30</t>
  </si>
  <si>
    <t>Co-primary at week 16: 1) IGA 0 or 1; 2) Proportion of patient with EASI-75</t>
  </si>
  <si>
    <t>Median EASI 28.2</t>
  </si>
  <si>
    <t>Median EASI 30.3</t>
  </si>
  <si>
    <t>Median EASI 29.6</t>
  </si>
  <si>
    <t>"Randomization was performed using a computer-generated randomisation schedule stratified by region and baseline disease severity"</t>
  </si>
  <si>
    <t>Kabashima Japan 2020</t>
  </si>
  <si>
    <t>Trial of Nemolizumab and Topical Agents for Atopic Dermatitis with Pruritus</t>
  </si>
  <si>
    <t>Japan/multicentre</t>
  </si>
  <si>
    <t>Original article/NEJM</t>
  </si>
  <si>
    <t>≥13 years</t>
  </si>
  <si>
    <t>Nemolizumab 60mg q4 weeks</t>
  </si>
  <si>
    <t>Not enough details in protocol or paper</t>
  </si>
  <si>
    <t>"patients were randomly assigned in a 2:1 ratio through an interactive Web-response system"</t>
  </si>
  <si>
    <t>"Placebo was formulated to be identical to nemolizumab but without the active product"; "The investigational product
randomization manager will keep the investigational product randomization table (original) and the sponsor
will keep the investigational product randomization table (copy) in sealed envelopes until unblinding"</t>
  </si>
  <si>
    <t>Low, medium potency corticosteroids, TCIs, oral antihistamines allowed</t>
  </si>
  <si>
    <t>Percent change in the weekly mean VAS score for pruritus from baseline to week 16</t>
  </si>
  <si>
    <t>Median 41</t>
  </si>
  <si>
    <t>Median EASI 24.2</t>
  </si>
  <si>
    <t>Median EASI 22.7</t>
  </si>
  <si>
    <t>Simpson USA 2020 Abrocitinib/ NCT03349060</t>
  </si>
  <si>
    <t>Original article/Lancet, CT.gov</t>
  </si>
  <si>
    <t>Antihistamines and emollients</t>
  </si>
  <si>
    <t>Co-primary at week 12: 1) IGA 0 or 1 and reduction of at least 2 points; 2) Proportion of patient with EASI-75</t>
  </si>
  <si>
    <t>EASI 31.3</t>
  </si>
  <si>
    <t>EASI 30.6</t>
  </si>
  <si>
    <t>EASI 28.7</t>
  </si>
  <si>
    <t>No significant missing data.</t>
  </si>
  <si>
    <t>From protocol: "All study assessments will be performed by study personnel who are blinded to the patient’s treatment group."</t>
  </si>
  <si>
    <t>"Identical, blinded, study drug kits were used with a nonsequential medication numbering system. The study remained blinded to all individuals (including patients, investigators and study personnel)", "Treatment allocation was blinded to patients and investigators."</t>
  </si>
  <si>
    <t xml:space="preserve">Few dropouts. Patients who received rescue medication were considered to be nonresponders and missing data were imputed as nonresponse. Multiple sensitivity analyses handling missing data in different ways. </t>
  </si>
  <si>
    <t>"tralokinumab and placebo were visually distinct from each other. Neither the subject nor any of the investigators or staff involved in the treatment or clinical evaluation and monitoring of the subjects were aware of the treatment received." "Treatment allocation was blinded to patients and investigators."</t>
  </si>
  <si>
    <t>"Placebo was formulated to be identical to nemolizumab but without the active product"; "The investigational product randomization manager will keep the investigational product randomization table (original) and the sponsor will keep the investigational product randomization table (copy) in sealed envelopes until unblinding"</t>
  </si>
  <si>
    <t>All prespecified outcomes reported; however, not all exploratory timepoints reported.</t>
  </si>
  <si>
    <t>Majority of patients completed the trial; "Modified intention-to-treat methods were used for the analyses of the primary and secondary end points and included all randomly assigned patients who received at least one dose of nemolizumab or placebo and had data available for evaluation."</t>
  </si>
  <si>
    <t>DLQI (modified by one question)</t>
  </si>
  <si>
    <t xml:space="preserve">Baricitinib in adult patients with moderate-to-severe atopic dermatitis: a phase 2 parallel, double-blinded, randomized placebo-controlled multiple-dose study </t>
  </si>
  <si>
    <t xml:space="preserve">Simpson USA 2016 SOLO1 </t>
  </si>
  <si>
    <t>Guttman-Yassky USA 2018 Baricitinib</t>
  </si>
  <si>
    <t>Age inclusion criteria</t>
  </si>
  <si>
    <t>Reference Country year</t>
  </si>
  <si>
    <t>study</t>
  </si>
  <si>
    <t>outcome</t>
  </si>
  <si>
    <t>notes</t>
  </si>
  <si>
    <t>B.mean</t>
  </si>
  <si>
    <t>B.se</t>
  </si>
  <si>
    <t>B.sd</t>
  </si>
  <si>
    <t>B.ci</t>
  </si>
  <si>
    <t>D.mean</t>
  </si>
  <si>
    <t>D.se</t>
  </si>
  <si>
    <t>D.sd</t>
  </si>
  <si>
    <t>B.lo</t>
  </si>
  <si>
    <t>B.up</t>
  </si>
  <si>
    <t>D.lo</t>
  </si>
  <si>
    <t>D.up</t>
  </si>
  <si>
    <t>D.ci</t>
  </si>
  <si>
    <t>C.mean</t>
  </si>
  <si>
    <t>C.se</t>
  </si>
  <si>
    <t>C.sd</t>
  </si>
  <si>
    <t>C.lo</t>
  </si>
  <si>
    <t>C.up</t>
  </si>
  <si>
    <t>C.ci</t>
  </si>
  <si>
    <t>F.mean</t>
  </si>
  <si>
    <t>F.se</t>
  </si>
  <si>
    <t>F.sd</t>
  </si>
  <si>
    <t>F.lo</t>
  </si>
  <si>
    <t>F.up</t>
  </si>
  <si>
    <t>F.ci</t>
  </si>
  <si>
    <t>P.mean</t>
  </si>
  <si>
    <t>P.se</t>
  </si>
  <si>
    <t>P.sd</t>
  </si>
  <si>
    <t>P.lo</t>
  </si>
  <si>
    <t>P.up</t>
  </si>
  <si>
    <t>P.ci</t>
  </si>
  <si>
    <t>Get C.se from D.se</t>
  </si>
  <si>
    <t>time</t>
  </si>
  <si>
    <t>weeks</t>
  </si>
  <si>
    <t>rep</t>
  </si>
  <si>
    <t>status /source</t>
  </si>
  <si>
    <t>loc</t>
  </si>
  <si>
    <t>title</t>
  </si>
  <si>
    <t>status</t>
  </si>
  <si>
    <t>age</t>
  </si>
  <si>
    <t>severity</t>
  </si>
  <si>
    <t>blinding</t>
  </si>
  <si>
    <t>pc</t>
  </si>
  <si>
    <t>type</t>
  </si>
  <si>
    <t>tainf</t>
  </si>
  <si>
    <t>duration</t>
  </si>
  <si>
    <t>outcome1</t>
  </si>
  <si>
    <t>agegroup</t>
  </si>
  <si>
    <t>agecrit</t>
  </si>
  <si>
    <t>sponsor</t>
  </si>
  <si>
    <t>rob1</t>
  </si>
  <si>
    <t>rob2</t>
  </si>
  <si>
    <t>rob3</t>
  </si>
  <si>
    <t>rob4</t>
  </si>
  <si>
    <t>rob5</t>
  </si>
  <si>
    <t>rob6</t>
  </si>
  <si>
    <t>rob7</t>
  </si>
  <si>
    <t>Placebo controlled (P) Dose finding (D) Dose finding/ placebo controlled (D/P) Head-head story (H) Open-label (OL) observer-blinded (ob)</t>
  </si>
  <si>
    <t>table</t>
  </si>
  <si>
    <t>var</t>
  </si>
  <si>
    <t>label</t>
  </si>
  <si>
    <t>values</t>
  </si>
  <si>
    <t>(RoB) Random sequence generation</t>
  </si>
  <si>
    <t xml:space="preserve">(RoB) Allocation concealment </t>
  </si>
  <si>
    <t xml:space="preserve">(RoB) Blinding of participants and personnel </t>
  </si>
  <si>
    <t xml:space="preserve">(RoB) Blinding of outcome assessment </t>
  </si>
  <si>
    <t xml:space="preserve">(RoB) Incomplete outcome data </t>
  </si>
  <si>
    <t xml:space="preserve">(RoB) Selective reporting </t>
  </si>
  <si>
    <t>(RoB) Other bias</t>
  </si>
  <si>
    <t>ARMS</t>
  </si>
  <si>
    <t>STUDIES</t>
  </si>
  <si>
    <t>Intervention: Dose; Frequency; application/ Control: Dose; Frequency; application</t>
  </si>
  <si>
    <t>Randomized and started treatment</t>
  </si>
  <si>
    <t xml:space="preserve">Completed active treatment </t>
  </si>
  <si>
    <t>arm</t>
  </si>
  <si>
    <t>conc</t>
  </si>
  <si>
    <t>rare</t>
  </si>
  <si>
    <t>comp</t>
  </si>
  <si>
    <t>women</t>
  </si>
  <si>
    <t>sever</t>
  </si>
  <si>
    <t>timea</t>
  </si>
  <si>
    <t>dur</t>
  </si>
  <si>
    <t>n.sae</t>
  </si>
  <si>
    <t>n.inc2</t>
  </si>
  <si>
    <t>n.inc</t>
  </si>
  <si>
    <t>n.stop</t>
  </si>
  <si>
    <t>OUTCOMES</t>
  </si>
  <si>
    <t>% Change Confidence of CI</t>
  </si>
  <si>
    <t>% Change Lower bound of CI</t>
  </si>
  <si>
    <t>% Change Upper bound of CI</t>
  </si>
  <si>
    <t>Confidence of CI of diference</t>
  </si>
  <si>
    <t>Lower bound of CI of diference</t>
  </si>
  <si>
    <t>Uppe bound of CI of diference</t>
  </si>
  <si>
    <t>Follow-up confidence of CI</t>
  </si>
  <si>
    <t>Follow-up lower bound of CI</t>
  </si>
  <si>
    <t>Follow-up upper bound of CI</t>
  </si>
  <si>
    <t>Confidence of CI of change</t>
  </si>
  <si>
    <t>Lower bound of CI of change</t>
  </si>
  <si>
    <t>Upper bound of CI of change</t>
  </si>
  <si>
    <t>Baseline confidene of CI</t>
  </si>
  <si>
    <t>Baseline lower bound of CI</t>
  </si>
  <si>
    <t>Baseline upper bound of CI</t>
  </si>
  <si>
    <t>label2</t>
  </si>
  <si>
    <t>Notes</t>
  </si>
  <si>
    <t>Location</t>
  </si>
  <si>
    <t>Status</t>
  </si>
  <si>
    <t>Age criteria</t>
  </si>
  <si>
    <t>Topical AI</t>
  </si>
  <si>
    <t>Duration</t>
  </si>
  <si>
    <t>Outcome</t>
  </si>
  <si>
    <t>Outcome1</t>
  </si>
  <si>
    <t>ROB randomisation</t>
  </si>
  <si>
    <t>RoB allocation</t>
  </si>
  <si>
    <t>RoB blinding PP</t>
  </si>
  <si>
    <t>Rob blinding AS</t>
  </si>
  <si>
    <t>RoB outcome</t>
  </si>
  <si>
    <t>RoB reporting</t>
  </si>
  <si>
    <t>RoB other</t>
  </si>
  <si>
    <t>Treatment</t>
  </si>
  <si>
    <t xml:space="preserve">Randomized and start </t>
  </si>
  <si>
    <t>Women (%)</t>
  </si>
  <si>
    <t>Mean severity baseline</t>
  </si>
  <si>
    <t>Treat. Duration</t>
  </si>
  <si>
    <t>Withdrew for AR</t>
  </si>
  <si>
    <t>Included in analysis</t>
  </si>
  <si>
    <t>Serious AE</t>
  </si>
  <si>
    <t>Measurement of effect</t>
  </si>
  <si>
    <t>Follow-up lower CI</t>
  </si>
  <si>
    <t>Follow-up upper CI</t>
  </si>
  <si>
    <t>Linear analog scale 0-100</t>
  </si>
  <si>
    <t>treatment</t>
  </si>
  <si>
    <t>Apremilast_40mg_BID</t>
  </si>
  <si>
    <t>Apremilast_30mg_BID</t>
  </si>
  <si>
    <t>Azathioprine_15_25_OD</t>
  </si>
  <si>
    <t>Azathioprine_25_OD</t>
  </si>
  <si>
    <t>Azathioprine_TPMT</t>
  </si>
  <si>
    <t>Baricitinib_1mg_OD</t>
  </si>
  <si>
    <t>Baricitinib_2mg_OD</t>
  </si>
  <si>
    <t>Baricitinib_4mg_OD</t>
  </si>
  <si>
    <t>Cyclosporine_150mg_OD</t>
  </si>
  <si>
    <t>Cyclosporine_300mg_OD</t>
  </si>
  <si>
    <t>Cyclosporine_4mg_OD</t>
  </si>
  <si>
    <t>Cyclosporine_5mg_OD</t>
  </si>
  <si>
    <t>Cyclosporine_25mg_OD</t>
  </si>
  <si>
    <t>Cyclosporine_3mg_OD</t>
  </si>
  <si>
    <t>Dupilumab_300mg_q1w</t>
  </si>
  <si>
    <t>Dupilumab_400mg_100mg_q4w</t>
  </si>
  <si>
    <t>Dupilumab_400mg_200mg_q2w</t>
  </si>
  <si>
    <t>Dupilumab_200mg_100mg_q2w_400mg_200mg_q2w</t>
  </si>
  <si>
    <t>Dupilumab_400mg_200mg_q1w</t>
  </si>
  <si>
    <t>Dupilumab_600mg_300mg_q2w</t>
  </si>
  <si>
    <t>Dupilumab_600mg_300mg_q4w</t>
  </si>
  <si>
    <t>Dupilumab_600mg_300mg_q2w_400mg_200mg_q2w</t>
  </si>
  <si>
    <t>Dupilumab_600mg_300mg_q1w</t>
  </si>
  <si>
    <t>Fezakinumab_300mg_q2w</t>
  </si>
  <si>
    <t>Fezakinumab_600mg_300mg_q2w</t>
  </si>
  <si>
    <t>GBR_830</t>
  </si>
  <si>
    <t>INF_Y_05_106_3xw</t>
  </si>
  <si>
    <t>INF_Y_15_106_3xw</t>
  </si>
  <si>
    <t>INF_Y_50_OD</t>
  </si>
  <si>
    <t>IVIG_2g_1x</t>
  </si>
  <si>
    <t>IVIG_2g_monthly</t>
  </si>
  <si>
    <t>Lebrikizumab_125mg_1x</t>
  </si>
  <si>
    <t>Lebrikizumab_125mg_q4w</t>
  </si>
  <si>
    <t>Lebrikizumab_250mg_1x</t>
  </si>
  <si>
    <t>Lebrikizumab_250mg_125mg_q4w</t>
  </si>
  <si>
    <t>Lebrikizumab_500mg_250mg_q4w</t>
  </si>
  <si>
    <t>Lebrikizumab_500mg_250mg_q2w</t>
  </si>
  <si>
    <t>Methotrexate_10_225mg_q1w</t>
  </si>
  <si>
    <t>Methotrexate_15mg_q1w</t>
  </si>
  <si>
    <t>Methotrexate_5mg_75mg_q1w</t>
  </si>
  <si>
    <t>Nemolizumab_01mg_q4w</t>
  </si>
  <si>
    <t>Nemolizumab_05mg_q4w</t>
  </si>
  <si>
    <t>Nemolizumab_2mg_q4w</t>
  </si>
  <si>
    <t>Nemolizumab_2mg_q8w</t>
  </si>
  <si>
    <t>Nemolizumab_20mg_10mg_q4w</t>
  </si>
  <si>
    <t>Nemolizumab_60mg_30mg_q4w</t>
  </si>
  <si>
    <t>Nemolizumab_90mg_90mg_q4w</t>
  </si>
  <si>
    <t>Nemolizumab_60mg_q4w</t>
  </si>
  <si>
    <t>Omalizumab_150_375mg_q2_4w</t>
  </si>
  <si>
    <t>Omalizumab_wt_based</t>
  </si>
  <si>
    <t>Abrocitinib_10mg_OD</t>
  </si>
  <si>
    <t>Abrocitinib_100mg_OD</t>
  </si>
  <si>
    <t>Abrocitinib_200mg_OD</t>
  </si>
  <si>
    <t>Abrocitinib_30mg_OD</t>
  </si>
  <si>
    <t>Fevipiprant_450mg_OD</t>
  </si>
  <si>
    <t>Tacrolimus_01_BID</t>
  </si>
  <si>
    <t>Tezepelumab_280mg_q2w</t>
  </si>
  <si>
    <t>Tralokinumab_150mg_q2w</t>
  </si>
  <si>
    <t>Tralokinumab_300mg_q2w</t>
  </si>
  <si>
    <t>Tralokinumab_600mg_300mg_q2w</t>
  </si>
  <si>
    <t>Tralokinumab_45mg_q2w</t>
  </si>
  <si>
    <t>Upadacitinib_15mg_OD</t>
  </si>
  <si>
    <t>Upadacitinib_30mg_OD</t>
  </si>
  <si>
    <t>Upadacitinib_75mg_OD</t>
  </si>
  <si>
    <t>Ustekinumab_45mg_2x</t>
  </si>
  <si>
    <t>Ustekinumab_45_90mg_3x</t>
  </si>
  <si>
    <t>Ustekinumab_90mg_2x</t>
  </si>
  <si>
    <t>UVAB_Phototherapy</t>
  </si>
  <si>
    <t>ZPL3893787_30mg_OD</t>
  </si>
  <si>
    <t>qol</t>
  </si>
  <si>
    <t>itch</t>
  </si>
  <si>
    <t>analysis</t>
  </si>
  <si>
    <t>VAS itch ≥50, EASI ≥10</t>
  </si>
  <si>
    <r>
      <t>8 weeks; 26 weeks</t>
    </r>
    <r>
      <rPr>
        <vertAlign val="superscript"/>
        <sz val="11"/>
        <rFont val="Arial"/>
        <family val="2"/>
      </rPr>
      <t>3</t>
    </r>
  </si>
  <si>
    <r>
      <t>6 weeks</t>
    </r>
    <r>
      <rPr>
        <vertAlign val="superscript"/>
        <sz val="11"/>
        <rFont val="Arial"/>
        <family val="2"/>
      </rPr>
      <t>4</t>
    </r>
    <r>
      <rPr>
        <sz val="11"/>
        <rFont val="Arial"/>
        <family val="2"/>
      </rPr>
      <t xml:space="preserve"> ; 9 weeks     </t>
    </r>
  </si>
  <si>
    <t>Simpson 2021 (BREEZE-AD5)</t>
  </si>
  <si>
    <t>Baricitinib in patients with moderate-to-severe atopic dermatitis: Results from a randomized monotherapy Phase 3 trial in the United States and Canada (BREEZE-AD5)</t>
  </si>
  <si>
    <t>16 weeks;16 weeks</t>
  </si>
  <si>
    <t>EASI 75 at week 16</t>
  </si>
  <si>
    <t>EASI 27.7</t>
  </si>
  <si>
    <t>EASI 27.0</t>
  </si>
  <si>
    <t>EASI 26.6</t>
  </si>
  <si>
    <t>Called itch NRS but on ct.gov referred to as worst itching in 24 hours</t>
  </si>
  <si>
    <t>"Assignment to treatment groups was determined by a computer-generated random sequence with an interactive web-response system (IWRS)"</t>
  </si>
  <si>
    <t>"The IWRS assigned bottles containing double-blinded investigational product tablets to each patient"</t>
  </si>
  <si>
    <t>Original article/JAAD+ct.gov</t>
  </si>
  <si>
    <t>52 weeks; 52 weeks</t>
  </si>
  <si>
    <t>"Assignment to treatment groups will be determined by a computer-generated random sequence using an IWRS"</t>
  </si>
  <si>
    <t>"All study assessments will be performed by study personnel who are blinded to the patient’s treatment group"</t>
  </si>
  <si>
    <t>"blister packs of double-blind investigational product tablets"</t>
  </si>
  <si>
    <t>16 weeks; 20 weeks</t>
  </si>
  <si>
    <t>Abroctinib 100 mg PO OD</t>
  </si>
  <si>
    <t>A computer-generated randomization schedule will be used</t>
  </si>
  <si>
    <t>Interactive Response Technology (IRT).</t>
  </si>
  <si>
    <t>emollient, rescue topical corticosteroids</t>
  </si>
  <si>
    <t>topical corticosteroids</t>
  </si>
  <si>
    <t>Dupilumab 600 mg then 300 mg q2 weeks</t>
  </si>
  <si>
    <t>emollient,  topical therapy (corticosteroids, calcineurin inhibitors or PDE4 inhibitors)</t>
  </si>
  <si>
    <t>Missing data for POEM and DLQI outcomes, (ex. 62/80 with outcomes for 1 mg bari);"...the efficacy and health outcome analyses will be conducted on the intent-to-treat population, defined as all randomized patients, even if the patient does not receive the correct treatment, or otherwise did not follow the protocol."</t>
  </si>
  <si>
    <t>Sample size in ct.gov for all outcomes is low - appropriate statistical techniques were used, but there was still a lot of missing data.</t>
  </si>
  <si>
    <t>"Investigators, subjects, and the sponsor study team will be blinded as to treatment group."</t>
  </si>
  <si>
    <t>Majority of patients included in analysis and appropriate statistical methods: "The primary analysis population for efficacy data will be the Full Analysis Set (FAS) defined
as all randomized subjects receiving at least one dose of investigational product... endpoints will also be analyzed for the Per-Protocol Analysis Set (PPAS) defined as a subset of FAS who had no major protocol
violations."</t>
  </si>
  <si>
    <t>DP.mean</t>
  </si>
  <si>
    <t>DP.se</t>
  </si>
  <si>
    <t>DP.SD</t>
  </si>
  <si>
    <t>DP.lo</t>
  </si>
  <si>
    <t>DP.up</t>
  </si>
  <si>
    <t>DP.ci</t>
  </si>
  <si>
    <t>We calculated the difference in percent change vs placebo by subtracting percent change in the active arms from the placebo arm. DP is the difference in % change vs placebo with 95% CIs around it</t>
  </si>
  <si>
    <t>Here we did not have baseline values. We calculated the difference in change vs placebo by subtracting change in the active arms from the placebo arm and extracted the 95% CI around change compared to placebo for the active arms</t>
  </si>
  <si>
    <t>We calculated the difference in percent change vs placebo by subtracting percent change in the active arms from the placebo arm and extracted the 95% CI around change compared to placebo for the active arms. DP is the difference in % change vs placebo with 95% CIs around it</t>
  </si>
  <si>
    <t>We calculated the difference in change vs placebo by subtracting change in the active arms from the placebo arm and extracted the 95% CI around change compared to placebo for the active arms</t>
  </si>
  <si>
    <t>easi</t>
  </si>
  <si>
    <t>poem</t>
  </si>
  <si>
    <t>SMD</t>
  </si>
  <si>
    <t>Silverberg USA 2020 (JADE MONO-2)</t>
  </si>
  <si>
    <t>Efficacy and Safety of Abrocitinib in Patients With Moderate-to-Severe Atopic Dermatitis</t>
  </si>
  <si>
    <t>Original article/JAMA Dermatology; CT.gov 32492087</t>
  </si>
  <si>
    <t>oral antihistamines and topical nonmedicated emollients</t>
  </si>
  <si>
    <t>EASI 28.0</t>
  </si>
  <si>
    <t>"computer-generated randomization schedule using interactive response technology (Almac Group)."</t>
  </si>
  <si>
    <t>"Randomization was stratified by baseline disease severity (IGA score of 3 or 4) and age group (&lt;18 or ≥18 years) and was administered via an interactive response technology system. Patients, investigators, and sponsors were blinded to study treatment."</t>
  </si>
  <si>
    <t>From protocol: "Blinded PF-04965842 and its matched placebo will be provided as 100 mg tablets for oral administration. The 100 mg tablets and their matching placebos will be supplied in separate bottles and labeled according to local regulatory requirements. When received by the pharmacy, PF-04965842 and matching placebo will be in containers that will sufficiently blind all site staff to content within the bottles (ie, active versus placebo)."</t>
  </si>
  <si>
    <t>Low dropout overall but 1/3 dropped out in the placebo group; appropriate imputation techniques</t>
  </si>
  <si>
    <t>cases</t>
  </si>
  <si>
    <t>sae</t>
  </si>
  <si>
    <t>SAE</t>
  </si>
  <si>
    <t>arms</t>
  </si>
  <si>
    <t>Number of events in a binary outcome</t>
  </si>
  <si>
    <t>Events</t>
  </si>
  <si>
    <t>WD</t>
  </si>
  <si>
    <t>wdr</t>
  </si>
  <si>
    <t>David Prieto Calculated this as the average of the limits of each confidence interval of the arms</t>
  </si>
  <si>
    <t>Azathioprine</t>
  </si>
  <si>
    <t>for_smd</t>
  </si>
  <si>
    <t>Methotrexate</t>
  </si>
  <si>
    <t>ord</t>
  </si>
  <si>
    <t>China/multi-centre</t>
  </si>
  <si>
    <t>Emollient; TCS not specified in ct.gov</t>
  </si>
  <si>
    <t>From protocol: "To protect the blind, each treatment kit of 2 mL (dupilumab/placebo) glass prefilled syringes will be prepared such that the IMPs are identical and indistinguishable, and will be labeled with a treatment kit number." "In accordance with the double-blind design, study patients, Investigators, and study site personnel will remain blinded to study treatment..."</t>
  </si>
  <si>
    <t>"Patients will be randomized to a treatment group according to a central randomization scheme provided by an IRT to the designated site personnel or clinical staff members."</t>
  </si>
  <si>
    <t>Low drop-outs; ITT analysis</t>
  </si>
  <si>
    <t>Bieber Germany 2021 (JADE COMPARE)</t>
  </si>
  <si>
    <t>EASI 31.0</t>
  </si>
  <si>
    <t>EASI 30.3</t>
  </si>
  <si>
    <t>EASI 32.1</t>
  </si>
  <si>
    <t>EASI 30.4</t>
  </si>
  <si>
    <t>Original article/NEJM and CT.gov</t>
  </si>
  <si>
    <t>Abrocitinib versus Placebo or Dupilumab for Atopic Dermatitis</t>
  </si>
  <si>
    <t>"Medicated" and "non-medicated" topical medications BID</t>
  </si>
  <si>
    <t>Protocol: "Computer-generated randomization schedule"; Centralized randomization via IRT</t>
  </si>
  <si>
    <t>Participants blinded; matching placebo</t>
  </si>
  <si>
    <t>Investigators blinded; matching placebo</t>
  </si>
  <si>
    <t>Low dropout; ITT analysis</t>
  </si>
  <si>
    <t>Guttman USA 2021 (MEASURE UP 1)</t>
  </si>
  <si>
    <t>Guttman USA 2021 (MEASURE UP 2)</t>
  </si>
  <si>
    <t>Once-daily upadacitinib versus placebo in adolescents and adults with moderate-to-severe atopic dermatitis (Measure Up 1 and Measure Up 2): results from two replicate double-blind, randomised controlled phase 3 trials</t>
  </si>
  <si>
    <t>12-75 years</t>
  </si>
  <si>
    <t>vIGA≥3, EASI ≥16, BSA≥10%, Worst Pruritus NRS≥4%</t>
  </si>
  <si>
    <t>16 weeks; 260 weeks</t>
  </si>
  <si>
    <t>Co-primary at week 16: 1) vIGA 0 or 1; 2) Proportion of patient with EASI-75</t>
  </si>
  <si>
    <t>EASI 28.8</t>
  </si>
  <si>
    <t>EASI 29.7</t>
  </si>
  <si>
    <t>EASI 29.1</t>
  </si>
  <si>
    <t>"Randomisation was done using an interactive response technology system according to a schedule generated by randomisation specialists at AbbVie"</t>
  </si>
  <si>
    <t>"Study investigators, study site personnel, and patients were masked to treatment allocation throughout the study. Upadacitinib and placebo tablets were identical in appearance to maintain blinding."</t>
  </si>
  <si>
    <t>Reich Germany 2021 (AD Up)</t>
  </si>
  <si>
    <t>Safety and efficacy of upadacitinib in combination with topical corticosteroids in adolescents and adults with moderate-to-severe atopic dermatitis (AD Up): results from a randomised, double-blind, placebo-controlled, phase 3 trial</t>
  </si>
  <si>
    <t>Low-medium potency topical steroids</t>
  </si>
  <si>
    <t>EASI 29.2</t>
  </si>
  <si>
    <t>Key secondary outcomes all reported but DLQI, POEM not reported from core outcome set</t>
  </si>
  <si>
    <t>"Interactive response technology system according to a schedule generated by statisticians at AbbVie."</t>
  </si>
  <si>
    <t>"Study investigators, study site personnel, and patients remained masked to treatment allocation throughout the study: upadacitinib 15 mg, upadacitinib 30 mg, and placebo tablets were identical in appearance to maintain blinding."</t>
  </si>
  <si>
    <t>Tralokinumab does not impact vaccine induced immune responses: Results from a 30-week, randomized, placebo-controlled trial in adults with moderate to-severe atopic dermatitis</t>
  </si>
  <si>
    <t>Merola USA 2021 (ECZTRA5)</t>
  </si>
  <si>
    <t>18-54 years</t>
  </si>
  <si>
    <t>Positive antitetanus and antimeningococcal response</t>
  </si>
  <si>
    <t>16 weeks; 30 weeks)</t>
  </si>
  <si>
    <t>Median 32.0</t>
  </si>
  <si>
    <t>Median EASI 23.2</t>
  </si>
  <si>
    <t>Emollient BID</t>
  </si>
  <si>
    <t>"Interactive Response Technology was used to generate and control randomization and stratification factors"</t>
  </si>
  <si>
    <t>Protocol: "This is a double-blinded trial in which tralokinumab and placebo are visually distinct from each other. Neither the subject nor any of the investigator or LEO staff who are involved in the treatment or clinical evaluation and monitoring of the subjects will be aware of the treatment received. The packaging and labelling of the IMPs will contain no evidence of their identity. Since tralokinumab and placebo are visually distinct and not matched for viscosity, IMP (tralokinumab/placebo) will be handled and administered by a qualified, unblinded HCP at the site who will not be involved in the management of trial subjects and who will not perform any of the assessments."</t>
  </si>
  <si>
    <t>Low dropouts; non-responder analysis</t>
  </si>
  <si>
    <t>Prescpecified outcomes reported</t>
  </si>
  <si>
    <t>ITT analysis used; For some outcomes, n is considerably lower than in the CONSORT diagram.</t>
  </si>
  <si>
    <t>16 weeks; 264 weeks</t>
  </si>
  <si>
    <t>For some outcomes (itch specifically), n is considerably lower than in the CONSORT diagram.</t>
  </si>
  <si>
    <t>]</t>
  </si>
  <si>
    <t>Cyclosporine_High_Dose</t>
  </si>
  <si>
    <t>Dupilumab_600_1d_300_q2w</t>
  </si>
  <si>
    <t>Cyclosporine_Low_Dose</t>
  </si>
  <si>
    <t xml:space="preserve">Topical steroid, Systemic antibiotics, Acetaminophen, Prednison 10 mg/day( 2 patients with asthma) </t>
  </si>
  <si>
    <t>Acetaminophen, topical moisturizing lotion, 1% hydrocortisone, antihistamines</t>
  </si>
  <si>
    <t>Prednisolone (in case of exacerbation), Topical steroids, Anti histamines</t>
  </si>
  <si>
    <t>ref</t>
  </si>
  <si>
    <t>signs</t>
  </si>
  <si>
    <t>priority</t>
  </si>
  <si>
    <t>qol_kids</t>
  </si>
  <si>
    <t>NOTE: CHAN STUDY - ONLY IN CHILD ANALYSIS</t>
  </si>
  <si>
    <t>cdlqi</t>
  </si>
  <si>
    <t>Efficacy and Safety of Upadacitinib vs Dupilumab in Adults With Moderate-to-Severe Atopic Dermatitis: A Randomized Clinical Trial</t>
  </si>
  <si>
    <t>Original article/ JAMA Dermatology</t>
  </si>
  <si>
    <t>Blauvelt USA 2021 (Heads Up)</t>
  </si>
  <si>
    <t>Dupilumab 600 mg x1 then 300mg SC q2weeks</t>
  </si>
  <si>
    <t xml:space="preserve">Rescue only </t>
  </si>
  <si>
    <t>EASI75</t>
  </si>
  <si>
    <t>EASI90</t>
  </si>
  <si>
    <t>ITT analysis. Less than 5% dropout (similar between arms)</t>
  </si>
  <si>
    <t>Protocol page 30: "The IRT will assign a randomization number that will encode the subject's treatment group assignment according to the randomization schedule generated by the statistics department at AbbVie."</t>
  </si>
  <si>
    <t>Protocol page 30: "All AbbVie personnel with direct oversight of the conduct and management of the trial, with the exception of AbbVie Drug Supply Management Team, will remain blinded to the study. All study site personnel involved in the study and the subjects will remain blinded to the subject's treatment throughout the study. To maintain the blind, the upadacitinib tablets and placebo tablets provided for the study will be identical in appearance."</t>
  </si>
  <si>
    <t>24 weeks; 36 weeks</t>
  </si>
  <si>
    <t>Proportion of patient with EASI-75 at week 16</t>
  </si>
  <si>
    <t>"To maintain blinding, the monotherapy treatments of oral upadacitinib and subcutaneous dupilumabwere each accompanied
by a placebo for the opposite therapy." Protocol page 30: "All AbbVie personnel with direct oversight of the conduct and management of the trial, with the exception of AbbVie Drug Supply Management Team, will remain blinded to the study. All study site personnel involved in the study and the subjects will remain blinded to the subject's treatment throughout the study. To maintain the blind, the upadacitinib tablets and placebo tablets provided for the study will be identical in appearance."</t>
  </si>
  <si>
    <t>Efficacy and Safety of Abrocitinib in Combination With Topical Therapy in Adolescents With Moderate-to-Severe Atopic Dermatitis: The JADE TEEN Randomized Clinical Trial</t>
  </si>
  <si>
    <t>Emollients, topical steroids, calcineurin inhibitors or crisaborole.</t>
  </si>
  <si>
    <t>IGA≥3, EASI ≥16, BSA≥10%, Worst Pruritus NRS≥4%</t>
  </si>
  <si>
    <t>Co-primary at week 12: (1) IGA 0 or 1 and reduction of at least 2 points (2) EASI-75</t>
  </si>
  <si>
    <t>Original article/ JAMA Dermatology/ CT.gov</t>
  </si>
  <si>
    <t>Eichenfield USA 2021 (JADE TEEN) (NCT03796676)</t>
  </si>
  <si>
    <t>EASI 29.5</t>
  </si>
  <si>
    <t>EASI50</t>
  </si>
  <si>
    <t>Zhao China 2021 (NCT03912259)</t>
  </si>
  <si>
    <t>The efficacy and safety of dupilumab in Chinese patients with moderate-to-severe atopic dermatitis: a randomized, double-blind, placebo-controlled study</t>
  </si>
  <si>
    <t>CT.gov, Original Article/BJD</t>
  </si>
  <si>
    <t>Gutermuth Belgium 2021 (ECZTRA7)</t>
  </si>
  <si>
    <t>Tralokinumab plus topical corticosteroids in adults with severe atopic dermatitis and inadequate response to or intolerance of ciclosporin A: a placebo-controlled, randomized, phase III clinical trial (ECZTRA 7)</t>
  </si>
  <si>
    <t>Mometasone cream once daily</t>
  </si>
  <si>
    <t>IGA≥3, EASI ≥20, BSA≥10%, PPNRS ≥4</t>
  </si>
  <si>
    <t>26 weeks; 40 weeks</t>
  </si>
  <si>
    <t>Median 33.0</t>
  </si>
  <si>
    <t>IGA</t>
  </si>
  <si>
    <t>Appendix: "Randomization was performed using the interactive response technology stratified by prior cyclosporine A (CSA) use (yes/no), country (Germany: yes/no), and baseline disease severity (Investigator’s Global Assessment [IGA] score: 3/4). The blinded study drug was provided in coded kits in a non-sequential numbering system to ensure unblinding did not occur. "</t>
  </si>
  <si>
    <t>Appendix: "As tralokinumab and the placebo are visually distinct, they were handled and administered by a qualified, unblinded healthcare professional at the site, who was not involved in the management or assessment of trial patients. Treatment allocation was blinded to patients and investigators."</t>
  </si>
  <si>
    <t>Tralokinumab Monotherapy for Adolescent Subjects With Moderate to Severe Atopic Dermatitis - ECZTRA 6 (ECZema TRAlokinumab Trial no. 6).</t>
  </si>
  <si>
    <t>IGA≥3, EASI ≥12, BSA≥10%, PPNRS ≥4</t>
  </si>
  <si>
    <t>Tralokinumab 300 mg then 150 mg q2 weeks</t>
  </si>
  <si>
    <t>Tralokinumab_300mg_150mg_q2w</t>
  </si>
  <si>
    <t>Protocol: "Subjects who have been found to comply with all the inclusion criteria and not to violate any of the exclusion criteria will be randomised centrally." "The IRT will be used to control randomisation, re-randomisation, and stratification factors, along with IMP supply chain and expiry tracking."</t>
  </si>
  <si>
    <t>Protocol: "This is a double-blinded trial in which tralokinumab and placebo are visually distinct from each other. Neither the subject nor any of the investigator or LEO Pharma staff who are involved in the treatment or clinical evaluation and monitoring of the subjects will be aware of the treatment received" "IMP will be handled and administered by a qualified, unblinded HCP (trained site staff) at the site who will not be involved in the management of trial subjects and who will not perform any of the assessments."</t>
  </si>
  <si>
    <t>Low dropout, ITT analysis</t>
  </si>
  <si>
    <t>Zhao China 2021 (SHR0302)</t>
  </si>
  <si>
    <t>Efficacy and Safety of SHR0302, a Highly Selective Janus Kinase 1 Inhibitor, in Patients with Moderate to Severe Atopic Dermatitis: A Phase II Randomized Clinical Trial</t>
  </si>
  <si>
    <t>China, multi-centre</t>
  </si>
  <si>
    <t>Full text/AJCD</t>
  </si>
  <si>
    <t>Moisturizers; rescue medications not allowed</t>
  </si>
  <si>
    <t>IGA≥3, EASI ≥12, BSA≥10%</t>
  </si>
  <si>
    <t>12 weeks; 14 weeks</t>
  </si>
  <si>
    <t>IGA 0 or 1 and reduction of at least 2 points at week 12</t>
  </si>
  <si>
    <t>SHR0302 4 mg PO daily</t>
  </si>
  <si>
    <t>SHR0302 8 mg PO daily</t>
  </si>
  <si>
    <t>EASI 31.25</t>
  </si>
  <si>
    <t>EASI 31.9</t>
  </si>
  <si>
    <t>EASI 31.89</t>
  </si>
  <si>
    <t>EASI 30.5</t>
  </si>
  <si>
    <t>SHR0302_4mg_OD</t>
  </si>
  <si>
    <t>SHR0302_8mg_OD</t>
  </si>
  <si>
    <t>"Patients were randomly assigned to receive SHR0302 4 mg once daily, SHR0302 8 mg once daily, or placebo in a ratio of 1:1:1 using a computer-generated randomization table."</t>
  </si>
  <si>
    <t>"Double-blind methodology was adopted for study drugs taken during the 12-week treatment period, ensuring that patients, investigators, and sponsors were blinded to study treatment."</t>
  </si>
  <si>
    <t>Differential dropouts; more in placebo arm. Uses ITT analysis.</t>
  </si>
  <si>
    <t>"Treatment allocation was blinded to patients and investigators." Appendix: "Randomization was performed using the interactive response technology stratified by prior cyclosporine A (CSA) use (yes/no), country (Germany: yes/no), and baseline disease severity (Investigator’s Global Assessment [IGA] score: 3/4). The blinded study drug was provided in coded kits in a non-sequential numbering system to ensure unblinding did not occur. "</t>
  </si>
  <si>
    <t>Similar dropout between arms, ITT analysis  (2 patients who didn't receive drugs were not included)</t>
  </si>
  <si>
    <t>Emollients; TCS as rescue</t>
  </si>
  <si>
    <t>16 weeks; 65 weeks</t>
  </si>
  <si>
    <t>IGA≥3, EASI ≥16, BSA≥10%, PPNRS ≥4</t>
  </si>
  <si>
    <t>Risankizumab_150mg_wk_0_4</t>
  </si>
  <si>
    <t>Risankizumab_300mg_wk_0_4</t>
  </si>
  <si>
    <t>Risankizumab 150 mg at weeks 0 and 4</t>
  </si>
  <si>
    <t>Risankizumab 300 mg at weeks 0 and 4</t>
  </si>
  <si>
    <t>EASI 30.85</t>
  </si>
  <si>
    <t>EASI 31.06</t>
  </si>
  <si>
    <t>EASI 28.70</t>
  </si>
  <si>
    <t>Protocol: "Randomization schedule generated by the statistics department at AbbVie."</t>
  </si>
  <si>
    <t>Protocol: "The IRT will assign a unique randomization number that will encode the subject's treatment group assignment according to the randomization schedule."</t>
  </si>
  <si>
    <t>Protocol: "To maintain the blind, the risankizumab PFS and placebo PFS provided for the study will be identical in appearance and number of syringes. While the sponsor will be unblinded as part of the Week 16 analysis, the investigator, study site personnel, and the subject will remain blinded to each subject's treatment for the duration of the study."</t>
  </si>
  <si>
    <t>Katoh 2022 (Rising Up)</t>
  </si>
  <si>
    <t>A phase 3 randomized, multicenter, double-blind study to evaluate the safety of upadacitinib in combination with topical corticosteroids in adolescent and adult patients with moderate-to-severe atopic dermatitis in Japan (Rising Up): An interim 24-week analysis</t>
  </si>
  <si>
    <t>Japan/Multicentre</t>
  </si>
  <si>
    <t>TCS</t>
  </si>
  <si>
    <t>16 weeks; 136 weeks</t>
  </si>
  <si>
    <t>Number of participants experiencing adverse events up to 141 weeks</t>
  </si>
  <si>
    <t>Pleacebo</t>
  </si>
  <si>
    <t>EASI 34.4</t>
  </si>
  <si>
    <t>EASI 34.2</t>
  </si>
  <si>
    <t>EASI 36.1</t>
  </si>
  <si>
    <t>Insufficient detail given</t>
  </si>
  <si>
    <t>Double blind. Matching placebo.</t>
  </si>
  <si>
    <t>NCT04345367 (JADE DARE)</t>
  </si>
  <si>
    <t>TCS, TCIs, PDE4 inhibitors, emollients</t>
  </si>
  <si>
    <r>
      <rPr>
        <sz val="11"/>
        <rFont val="Calibri"/>
        <family val="2"/>
      </rPr>
      <t>Co-Primary: Proportion with ≥</t>
    </r>
    <r>
      <rPr>
        <sz val="11"/>
        <rFont val="Arial"/>
        <family val="2"/>
      </rPr>
      <t>4 point improvement in PPNRS at week 2; Proportion with EASI-90 at week 4</t>
    </r>
  </si>
  <si>
    <t>26 weeks; 30 weeks</t>
  </si>
  <si>
    <t>Protocol: "Allocation of participants to treatment groups will proceed through the use of an IRT system"</t>
  </si>
  <si>
    <t>Protocol: "Investigators, participants and the sponsor study team will be blinded as to treatment group." Matching placebo.</t>
  </si>
  <si>
    <t>Low dropout and low missing data for outcomes</t>
  </si>
  <si>
    <t>ITT analysis used on some outcomes but &gt;10% incompletion rate in  both tx groups and &gt;26% in placebo</t>
  </si>
  <si>
    <t>Original Article/JAAD International</t>
  </si>
  <si>
    <t>Low dropout; similar between arms; ITT</t>
  </si>
  <si>
    <t>CT.gov only specifies safety outcomes; unclear whether QoL, POEM were measured and not reported.</t>
  </si>
  <si>
    <t>NCT03817190</t>
  </si>
  <si>
    <t>Efficacy and Safety of Orally Administered DS107 in Adult Patients With Moderate to Severe Atopic Dermatitis</t>
  </si>
  <si>
    <t>Emollient BID, TCS/TCI for rescue only</t>
  </si>
  <si>
    <t>BSA 35.95</t>
  </si>
  <si>
    <t>DS107 2g OD</t>
  </si>
  <si>
    <t>DS107_2g_OD</t>
  </si>
  <si>
    <t>BSA 35.67</t>
  </si>
  <si>
    <t>A randomization list permuted by blocks and stratified by site will be generated by the Sponsor or its designee. The randomization schedule with study drug assignments will be generated prior to the start of the study and will be known only to the individuals responsible for labelling the study drug, the statisticians generating the schedule and the IWRS team responsible for implementing the schedule. The IWRS will assign a medication kit number to each patient and the contents will be based on the randomization code.</t>
  </si>
  <si>
    <t>Protocol: "All study site personnel, as well as the personnel involved in the monitoring or conduct of the
study, will be blinded to the individual patient treatment assignments"</t>
  </si>
  <si>
    <t>Protocol: "The blinded code for the trial will be broken only after all patient
data has been recorded and verified and the database locked."</t>
  </si>
  <si>
    <t>Similar (high) dropout between arms; "Arm as a factor and respective baseline value as a covariate, with the treatment-by-visit interaction term as a random effect to
account for missing data at Week 16"</t>
  </si>
  <si>
    <t>Prespecific outcomes reported</t>
  </si>
  <si>
    <t>IGA≥3, EASI ≥12, BSA≥10%, PPNRS ≥3</t>
  </si>
  <si>
    <t>16 weeks; 66 weeks</t>
  </si>
  <si>
    <t>% Change from baseline in EASI at week 16</t>
  </si>
  <si>
    <t>EASI 30.42</t>
  </si>
  <si>
    <t>EASI 33.84</t>
  </si>
  <si>
    <t>EASI 28.42</t>
  </si>
  <si>
    <t>ISB 830 600 mg then 300 mg Q2W</t>
  </si>
  <si>
    <t>ISB 830 600 mg then 300 mg Q4W</t>
  </si>
  <si>
    <t>ISB 830 150 mg then 75 mg Q4W</t>
  </si>
  <si>
    <t>ISB 830 1200 mg then 600 mg Q4W</t>
  </si>
  <si>
    <t>EASI 29.86</t>
  </si>
  <si>
    <t>EASI 31.81</t>
  </si>
  <si>
    <t>EASI 30.65</t>
  </si>
  <si>
    <t>Interactive voice response system/interactive web response system</t>
  </si>
  <si>
    <t>"Randomized subjects will be stratified by the IVRS/IWRS based on disease severity, geographic region, and subjects consenting to rich PK sampling (Yes/No) to ensure balance of treatment groups within each stratum."</t>
  </si>
  <si>
    <t>"Since ISB 830 and placebo are not indistinguishable, the study drug will be handled/prepared by a designated unblinded study drug administrator (eg, unblinded pharmacist or designee) at the site and will be administered by a designated unblinded study team member who will not be involved in the management of study subjects."</t>
  </si>
  <si>
    <t>Substantial dropouts for some outcomes. Protocol: In section, "Missing primary and Secondary Endpoints", "To test the robustness of Mixed-effect Model for Repeated Measures (MMRM) model for the
primary endpoint, sensitivity analyses using tipping point approach will be conducted."</t>
  </si>
  <si>
    <t>16 weeks; 56 weeks</t>
  </si>
  <si>
    <t>KHK4083 150 mg Q4W</t>
  </si>
  <si>
    <t>KHK4083 600 mg Q4W</t>
  </si>
  <si>
    <t>KHK4083 300 mg Q2W</t>
  </si>
  <si>
    <t>KHK4083 600 mg Q2W</t>
  </si>
  <si>
    <t>EASI 33.2</t>
  </si>
  <si>
    <t>EASI 32.5</t>
  </si>
  <si>
    <t>EASI 31.6</t>
  </si>
  <si>
    <t>EASI 31.1</t>
  </si>
  <si>
    <t>Randomization will be performed through the IWRS in the order of enrollment.</t>
  </si>
  <si>
    <t>"...in a 1:1:1:1:1 ratio by the IWRS according to a dynamic allocation procedure."</t>
  </si>
  <si>
    <t>"The study will be blinded to all study personnel/consultants, investigative site personnel, and study subjects."</t>
  </si>
  <si>
    <t>Dropout low other than for placebo; "Any missing data of the primary endpoint and other continuous endpoints at Week 16 will be imputed by the LOCF method. For dropout subjects (including subjects who receive rescue
treatment), data at the last assessment point will be defined as data obtained prior to dropout or receiving rescue treatment, while Week 16 data will be used for all other subjects. Subjects
with any missing data of categorical endpoints at Week 16 will be counted as non-responder. Sensitivity analysis such as complete case analysis and multiple imputation will be performed
to assess the robustness of primary endpoint analysis results"</t>
  </si>
  <si>
    <t>Merola USA 2022 (DUPISTAD; NCT04033367)</t>
  </si>
  <si>
    <t>TCS as needed</t>
  </si>
  <si>
    <t>EASI ≥12, PPNRS ≥3, Sleep qualiy NRS ≥5%</t>
  </si>
  <si>
    <t>% change from baseline in sleep quality NRS at week 12</t>
  </si>
  <si>
    <t>Dupilumab_300mg_q2w</t>
  </si>
  <si>
    <t>EASI 26.0</t>
  </si>
  <si>
    <t xml:space="preserve">Insufficient detail given. </t>
  </si>
  <si>
    <t xml:space="preserve">Double blind. Matching placebo. </t>
  </si>
  <si>
    <t>Insuffucient detail given</t>
  </si>
  <si>
    <t>Abstract only published so far.</t>
  </si>
  <si>
    <t>Paller USA 2022 (LIBERTY AD PRE-SCHOOL; NCT03346434)</t>
  </si>
  <si>
    <t>Efficacy and safety of dupilumab in children aged ≥ 6 months to &lt; 6 years with moderate-to-severe atopic dermatitis</t>
  </si>
  <si>
    <t>International/multi-centre</t>
  </si>
  <si>
    <t>Low-potency TCS</t>
  </si>
  <si>
    <t>6 months - 5 years</t>
  </si>
  <si>
    <t>Dupilumab 200 or 300 mg q4 weeks (weight-based)</t>
  </si>
  <si>
    <t>Dupilumab_200_OR_300mg_q4w</t>
  </si>
  <si>
    <t>Protocol: "Randomization will be performed according to a central randomization scheme provided by an IWRS to the designated study pharmacist (or qualified designee). Randomization slots will be reserved for patients from Japan and China in the IWRS."</t>
  </si>
  <si>
    <t>Protocol: "Randomization will be performed according to a central randomization scheme provided by an IWRS to the designated study pharmacist (or qualified designee)"</t>
  </si>
  <si>
    <t>Protocol: "Part B of the study, except for IDMC members and the provisions specified in Section 5.5.2, will
remain blinded to all individuals until the prespecified unmasking to conduct the primary analyses. Blinded study drug kits coded with a medication numbering system will be used in part B. In order to maintain the blind, lists linking these codes with product lot numbers will not be accessible to
individuals involved in study conduct."</t>
  </si>
  <si>
    <t>Protocol: "Anti-drug antibody and drug concentration results will not be communicated to the sites, and the sponsor’s operational team will not have access to results associated with patient identification until after the final database lock."</t>
  </si>
  <si>
    <t>Abstract only; Primary outcomes reported</t>
  </si>
  <si>
    <t xml:space="preserve">Emollients allowed </t>
  </si>
  <si>
    <t>PF-06817024 600mg then 300mg q4w</t>
  </si>
  <si>
    <t>Protocol: "Pfizer will provide a randomization schedule to the investigator and, in accordance with the randomization numbers, the subject will receive the study treatment regimen assigned to the corresponding randomization number."</t>
  </si>
  <si>
    <t>Protocol: "To minimize the potential for bias, treatment randomization information will be kept confidential by Pfizer unblinded personnel and will not be released to the blinded investigator or blinded investigator site personnel until the study database has been locked or the investigator requests unblinding for safety reasons"</t>
  </si>
  <si>
    <t>Protocol: "Only the investigator site(s) staff and blinded study monitor, if assigned, will be blinded to study treatment."</t>
  </si>
  <si>
    <t>Protocol: "Blood specimens will be obtained from all subjects for pharmacokinetic analysis to maintain the study blind at the investigator site. Only the investigator site(s) staff and blinded study monitor, if assigned, will be blinded to study treatment. Other Pfizer personnel will be unblinded to subject treatments in order to permit real-time interpretation of the safety and pharmacokinetic data; and provide information necessary to potentially alter the dose escalation sequence. The blinded study monitor, if assigned, will remain blinded to treatment
until all monitoring for the study has been completed."</t>
  </si>
  <si>
    <t>Very high drop out rate in a very small study</t>
  </si>
  <si>
    <t>Bieber Germany 2022 (NCT03428100) (BREEZE-AD4)</t>
  </si>
  <si>
    <t>Full text/ BJD/ CT.gov</t>
  </si>
  <si>
    <t>Efficacy and safety of baricitinib in combination with topical corticosteroids in patients with moderate-to-severe atopic dermatitis with inadequate response, intolerance or contraindication to ciclosporin: results from a randomized, placebo-controlled, phase III clinical trial (BREEZE-AD4)</t>
  </si>
  <si>
    <t>EASI 34.3</t>
  </si>
  <si>
    <t>EASI 32.7</t>
  </si>
  <si>
    <t>Original article/Lancet and JACI (long-term data)</t>
  </si>
  <si>
    <t>SMD_cqol</t>
  </si>
  <si>
    <t>SMD_qol</t>
  </si>
  <si>
    <t>SMD_signs</t>
  </si>
  <si>
    <t>SMD_itch</t>
  </si>
  <si>
    <t>DC.mean</t>
  </si>
  <si>
    <t>DC.se</t>
  </si>
  <si>
    <t>DC.sd</t>
  </si>
  <si>
    <t>DC.lo</t>
  </si>
  <si>
    <t>DC.up</t>
  </si>
  <si>
    <t>DC.ci</t>
  </si>
  <si>
    <t>PF06817024_600mg_300mg_q4w</t>
  </si>
  <si>
    <t>PMID</t>
  </si>
  <si>
    <t>NCT</t>
  </si>
  <si>
    <t>00809172</t>
  </si>
  <si>
    <t>02780167</t>
  </si>
  <si>
    <t>02755649</t>
  </si>
  <si>
    <t>02300701</t>
  </si>
  <si>
    <t>02210780</t>
  </si>
  <si>
    <t>02260986</t>
  </si>
  <si>
    <t>1548404</t>
  </si>
  <si>
    <t>11411908</t>
  </si>
  <si>
    <t>29410014</t>
  </si>
  <si>
    <t>02576938</t>
  </si>
  <si>
    <t>29353025</t>
  </si>
  <si>
    <t>01941537</t>
  </si>
  <si>
    <t>30194992</t>
  </si>
  <si>
    <t>01979016</t>
  </si>
  <si>
    <t>30738171</t>
  </si>
  <si>
    <t>02683928</t>
  </si>
  <si>
    <t>31786154</t>
  </si>
  <si>
    <t>02925117</t>
  </si>
  <si>
    <t>32101256</t>
  </si>
  <si>
    <t>03443024</t>
  </si>
  <si>
    <t>8432915</t>
  </si>
  <si>
    <t>23816920</t>
  </si>
  <si>
    <t>10827410</t>
  </si>
  <si>
    <t>01678092</t>
  </si>
  <si>
    <t>21461247</t>
  </si>
  <si>
    <t>32640132</t>
  </si>
  <si>
    <t>JapicCTI 173740</t>
  </si>
  <si>
    <t>27304428</t>
  </si>
  <si>
    <t>01806662</t>
  </si>
  <si>
    <t>16530578</t>
  </si>
  <si>
    <t>ISRCTN58943280</t>
  </si>
  <si>
    <t>8148281</t>
  </si>
  <si>
    <t>01785602</t>
  </si>
  <si>
    <t>15080819</t>
  </si>
  <si>
    <t>32574587</t>
  </si>
  <si>
    <t>03345914</t>
  </si>
  <si>
    <t>33001140</t>
  </si>
  <si>
    <t>03733301</t>
  </si>
  <si>
    <t>28249150</t>
  </si>
  <si>
    <t>01986933</t>
  </si>
  <si>
    <t>28338223</t>
  </si>
  <si>
    <t>01945086</t>
  </si>
  <si>
    <t>21514637</t>
  </si>
  <si>
    <t>Dutch Trial Register NTR1916</t>
  </si>
  <si>
    <t>31449914</t>
  </si>
  <si>
    <t>03100344</t>
  </si>
  <si>
    <t>33000503</t>
  </si>
  <si>
    <t>03363854</t>
  </si>
  <si>
    <t>31995838</t>
  </si>
  <si>
    <t>27690741</t>
  </si>
  <si>
    <t>02277743</t>
  </si>
  <si>
    <t>02277769</t>
  </si>
  <si>
    <t>30528828</t>
  </si>
  <si>
    <t>02087943</t>
  </si>
  <si>
    <t>29353026</t>
  </si>
  <si>
    <t>02525094</t>
  </si>
  <si>
    <t>30550828</t>
  </si>
  <si>
    <t>Efficacy and safety of abrocitinib in adults and adolescents with moderate-to-severe atopic dermatitis (JADE MONO-1): a multicentre, double-blind, randomised, placebo-controlled, phase 3 trial</t>
  </si>
  <si>
    <t>32711801</t>
  </si>
  <si>
    <t>03349060</t>
  </si>
  <si>
    <t>31693077</t>
  </si>
  <si>
    <t>03054428</t>
  </si>
  <si>
    <t>Double-blind, controlled, crossover study of cyclosporin in adults with severe refractory atopic dermatitis</t>
  </si>
  <si>
    <t>1677063</t>
  </si>
  <si>
    <t>26454361</t>
  </si>
  <si>
    <t>01859988</t>
  </si>
  <si>
    <t>30414855</t>
  </si>
  <si>
    <t>02424253</t>
  </si>
  <si>
    <t>33000465</t>
  </si>
  <si>
    <t>03131648</t>
  </si>
  <si>
    <t>03160885</t>
  </si>
  <si>
    <t>29906525</t>
  </si>
  <si>
    <t>02347176</t>
  </si>
  <si>
    <t>33600915</t>
  </si>
  <si>
    <t>03435081</t>
  </si>
  <si>
    <t>35484697</t>
  </si>
  <si>
    <t>03428100</t>
  </si>
  <si>
    <t>33761207</t>
  </si>
  <si>
    <t>03720470</t>
  </si>
  <si>
    <t>32492087</t>
  </si>
  <si>
    <t>03575871</t>
  </si>
  <si>
    <t>03912259</t>
  </si>
  <si>
    <t>03796676</t>
  </si>
  <si>
    <t>34358343</t>
  </si>
  <si>
    <t xml:space="preserve"> 34406366</t>
  </si>
  <si>
    <t>34023008</t>
  </si>
  <si>
    <t>03569293</t>
  </si>
  <si>
    <t>03607422</t>
  </si>
  <si>
    <t>34023009</t>
  </si>
  <si>
    <t>03568318</t>
  </si>
  <si>
    <t>33744356</t>
  </si>
  <si>
    <t>03562377</t>
  </si>
  <si>
    <t>34347860</t>
  </si>
  <si>
    <t>03738397</t>
  </si>
  <si>
    <t>34698371</t>
  </si>
  <si>
    <t>03761537</t>
  </si>
  <si>
    <t>34374027</t>
  </si>
  <si>
    <t>03526861</t>
  </si>
  <si>
    <t>03706040</t>
  </si>
  <si>
    <t>04162899</t>
  </si>
  <si>
    <t>34988493</t>
  </si>
  <si>
    <t xml:space="preserve">03661138 </t>
  </si>
  <si>
    <t>04345367</t>
  </si>
  <si>
    <t>03817190</t>
  </si>
  <si>
    <t>03703102</t>
  </si>
  <si>
    <t>03568162</t>
  </si>
  <si>
    <t>04033367</t>
  </si>
  <si>
    <t>02743871</t>
  </si>
  <si>
    <t>03346434</t>
  </si>
  <si>
    <t>03334396</t>
  </si>
  <si>
    <t>03334422</t>
  </si>
  <si>
    <t>02340234</t>
  </si>
  <si>
    <t>NCT04587453 (ECZTRA 8)</t>
  </si>
  <si>
    <t>Tralokinumab in Combination With Topical Corticosteroids in Japanese Subjects With Moderate-to-severe Atopic Dermatitis (ECZTRA 8)</t>
  </si>
  <si>
    <t>04587453</t>
  </si>
  <si>
    <t>Japan, Multicentre</t>
  </si>
  <si>
    <t>TCS administered as needed</t>
  </si>
  <si>
    <t>EASI 37.12</t>
  </si>
  <si>
    <t>EASI 32.30</t>
  </si>
  <si>
    <t>Protocol: "The treatment assignment will be pre-planned according to a computer-generated randomisation schedule in a 1:1 ratio stratified by baseline disease severity...The IRT will be used to control randomisation and stratification factor,"</t>
  </si>
  <si>
    <t>Protocol: "Since tralokinumab and placebo are visually distinct from each other and not matched for viscosity, the IMP will be handled and administered by a qualified, unblinded HCP (trained site staff) at the trial site who will neither be involved in the
management of the trial subjects nor perform any of the trial assessments. The packaging and labelling of the IMPs will contain no evidence of their identity...The subjects, investigators involved in the treatment or clinical evaluation, and LEO Pharma staff involved in monitoring of the trial subjects will not be aware of the treatment received."</t>
  </si>
  <si>
    <t xml:space="preserve"> The packaging and labelling of the IMPs will contain no evidence of their identity. The IMP is packed in identical boxes, with non-sequential kit numbers to ensure that unblinding does not
occur during shipment and handling of the IMP.The subjects, investigators involved in the treatment or clinical evaluation, and LEO Pharma staff involved in monitoring of the trial subjects will not be aware of the treatment received</t>
  </si>
  <si>
    <t>Low dropout; similar between arms</t>
  </si>
  <si>
    <t>A Study to Assess the Safety and Efficacy of Etrasimod in Subjects With Moderate-to-Severe Atopic Dermatitis (ADVISE)</t>
  </si>
  <si>
    <t>18-70 years</t>
  </si>
  <si>
    <t>% Change from baseline in EASI at week 12</t>
  </si>
  <si>
    <t xml:space="preserve">IGA≥3, EASI ≥16, </t>
  </si>
  <si>
    <t>Protocol: "For the Double-Blind Treatment Period, subjects will be centrally assigned to randomized study treatment using an Interactive Web Response System (IWRS). Details of the randomization methodology are provided in the statistical analysis plan (SAP)."</t>
  </si>
  <si>
    <t>Randomization will be performed through the IWRS</t>
  </si>
  <si>
    <t>Protocol: "This study includes a Double-Blind Treatment Period with limited access to the randomization code. The investigational drug and placebo tablets are identical in physical appearance. The treatment each subject receives will not be disclosed to the investigator, study site staff, subject, Sponsor personnel involved with the conduct of the study (with the exception of the clinical supply staff and designated safety staff), or study vendors. The IWRS will hold treatment codes for study treatment."</t>
  </si>
  <si>
    <t>Protocol: "The treatment each subject receives will not be disclosed to the investigator, study site staff, subject, Sponsor personnel involved with the conduct of the study (with the exception of the clinical supply staff and designated safety staff), or study vendors. The IWRS will hold treatment codes for study treatment"</t>
  </si>
  <si>
    <t>~25% dropout; similar between arms; protocol: "
All missing EASI scores at scheduled visits up to week 12 will be imputed using a multiple imputation (MI) technique with a fully conditional specification method and predictive mean matching for EASI scores. For analysis of dichotomous endpoints at week 12, all subjects in the FAS will be included in the analyses."</t>
  </si>
  <si>
    <t>04162769</t>
  </si>
  <si>
    <t xml:space="preserve">Numerickaya 2022 </t>
  </si>
  <si>
    <t>Prospects of using the genetically engineered preparation dupilumab for the treatment of atopic dermatitis in the adult population</t>
  </si>
  <si>
    <t>Original article/Journal of Pakistan Association of Dermatologists</t>
  </si>
  <si>
    <t>IGA≥3, EASI &gt;15, BSA&gt;10%, NRS&gt;3</t>
  </si>
  <si>
    <t>Russia, single centre</t>
  </si>
  <si>
    <t>NCT04178967 (ADvocate2)</t>
  </si>
  <si>
    <t>Evaluation of the Efficacy and Safety of Lebrikizumab (LY3650150) in Moderate to Severe Atopic Dermatitis (ADvocate2)</t>
  </si>
  <si>
    <t>Co-primary at week 16: (1) vIGA 0 or 1 and reduction of at least 2 points (2) EASI-75</t>
  </si>
  <si>
    <t>04178967</t>
  </si>
  <si>
    <t>Protocol: "All patients will be randomly allocated to receive the study treatment using an electronic data capture system at the Baseline visit. The allocation to treatment will be prospectively stratified by geographic region (US versus EU versus rest of world), age (adolescent patients 12 to &lt;18 years versus adults ≥18 years) and disease severity (IGA 3 versus 4)."</t>
  </si>
  <si>
    <t>NCT04146363 (Advocate1)</t>
  </si>
  <si>
    <t>04146363</t>
  </si>
  <si>
    <t>Evaluation of the Efficacy and Safety of Lebrikizumab (LY3650150) in Moderate to Severe Atopic Dermatitis (ADvocate1)</t>
  </si>
  <si>
    <t>Protocol: "The Sponsor or designee, the Investigator, study-site personnel, and the patient will be blinded to treatment assignment"</t>
  </si>
  <si>
    <t>Protocol: "The Sponsor or designee, the Investigator, study-site personnel, and the patient will be blinded to treatment assignment." "Placebo solution is identical in appearance and content to the active solution except for lebrikizumab."</t>
  </si>
  <si>
    <t>Reich 2022 NCT04345367 (JADE DARE)</t>
  </si>
  <si>
    <t>Efficacy and safety of abrocitinib versus dupilumab in adults with moderate-to-severe atopic dermatitis: a randomised, double-blind, multicentre phase 3 trial</t>
  </si>
  <si>
    <t>Full text/Lancet, CT.gov</t>
  </si>
  <si>
    <t>Full Text/Lancet, Abstract/BJD</t>
  </si>
  <si>
    <t>EASI 35.1</t>
  </si>
  <si>
    <t>EASI 33.1</t>
  </si>
  <si>
    <t>IDQOL</t>
  </si>
  <si>
    <t>Numerickaya 2022</t>
  </si>
  <si>
    <t>Insufficient detail given; from article: "For the study, the patients were randomly divided into two control groups of 45 people, in each of which three subgroups of 15 people were randomly formed"</t>
  </si>
  <si>
    <t>insufficient detail given</t>
  </si>
  <si>
    <t>no mention of blinding</t>
  </si>
  <si>
    <t>Funding source not mentioned</t>
  </si>
  <si>
    <t>NCT03531957 (RADIANT)</t>
  </si>
  <si>
    <t>Phase 2B Study to Evaluate ASN002 in Subjects With Moderate to Severe Atopic Dermatitis (RADIANT)</t>
  </si>
  <si>
    <t>Change in EASI from baseline to week 12</t>
  </si>
  <si>
    <t>ASN002_40mg_OD</t>
  </si>
  <si>
    <t>ASN002_80mg_OD</t>
  </si>
  <si>
    <t>ASN002_60mg_OD</t>
  </si>
  <si>
    <t>ASN002 40 mg OD</t>
  </si>
  <si>
    <t>ASN002 60 mg OD</t>
  </si>
  <si>
    <t>ASN002 80 mg OD</t>
  </si>
  <si>
    <t>Median 40</t>
  </si>
  <si>
    <t>Median 36</t>
  </si>
  <si>
    <t>Protocol "The master randomization list will be kept secured until the study blind is broken at the end of study. This list will be uploaded into an Interactive Web Response System (IWRS). The investigator or designee will be able to acquire a randomization number for eligible subjects by connecting to the IWRS. "</t>
  </si>
  <si>
    <t xml:space="preserve">Protocol: " At all times, treatment and randomization information will be kept confidential and will not be released to the investigator, the study staff, the contract research organization (CRO), or the sponsor’s study team until after the conclusion of the study. " </t>
  </si>
  <si>
    <t>03531957</t>
  </si>
  <si>
    <t>Bissonnette 2023 (Spesolimab)</t>
  </si>
  <si>
    <t>Spesolimab, an anti-interleukin-36 receptor antibody, in patients with moderate-to-severe atopic dermatitis: Results from a multicentre, randomized, double-blind, placebo-controlled, phase IIa study</t>
  </si>
  <si>
    <t>16 weeks; 44 weeks</t>
  </si>
  <si>
    <t>03822832</t>
  </si>
  <si>
    <t>36376738</t>
  </si>
  <si>
    <t>Spesolimab_600mg_q4w</t>
  </si>
  <si>
    <t>Spesolimab 600mg IV q4w</t>
  </si>
  <si>
    <t>Study Evaluating the Mechanism of Action of PF-04965842 Monotherapy for Moderate-to-severe Atopic Dermatitis (JADE MOA)</t>
  </si>
  <si>
    <t>Protocol: "Patients will be randomly assigned to one of the treatment groups"; "An Interactive Response Technology (IRT) will be used to screen and randomise eligible patients"</t>
  </si>
  <si>
    <t>Protocol: "Patients, investigators and everyone involved in trial conduct or analysis or with any other interest in this double-blind trial will remain blinded"</t>
  </si>
  <si>
    <t>Very high drop out rate in a small study; differential dropout between arms.</t>
  </si>
  <si>
    <t>Biomarkers at week 12</t>
  </si>
  <si>
    <t>03915496</t>
  </si>
  <si>
    <t>Protocol: "A computer-generated randomization schedule will be used to assign participants to the treatment groups using an Interactive Response Technology (IRT)."</t>
  </si>
  <si>
    <t>Protocol: "Investigators, participants and the sponsor study team will be blinded as to treatment group. The study will be participant (including caregiver) and investigator blinded."</t>
  </si>
  <si>
    <t>Simpson 2023 (ADhere)</t>
  </si>
  <si>
    <t>Efficacy and Safety of Lebrikizumab in Combination With Topical Corticosteroids in Adolescents and Adults With Moderate-to-Severe Atopic Dermatitis: A Randomized Clinical Trial (ADhere)</t>
  </si>
  <si>
    <t>Low-mid potency TCS or TCI as needed</t>
  </si>
  <si>
    <t>36630140</t>
  </si>
  <si>
    <t>04250337</t>
  </si>
  <si>
    <t>Protocol: "All patients will be randomly allocated to receive the study treatment using an electronic data capture system (an electronic randomization and trial supply management system) at the Baseline visit."</t>
  </si>
  <si>
    <t>Protocol: "The Sponsor or designee, the Investigator, study-site personnel, and the patient will be blinded to treatment assignment."</t>
  </si>
  <si>
    <t>Etrasimod 1 mg OD</t>
  </si>
  <si>
    <t>Etrasimod 2 mg OD</t>
  </si>
  <si>
    <t>Etrasimod_1mg_OD</t>
  </si>
  <si>
    <t>Etrasimod_2mg_OD</t>
  </si>
  <si>
    <t>Tyring 2023 NCT03706040 (Risankizumab)</t>
  </si>
  <si>
    <t>Risankizumab in Patients with Moderate-to-Severe
Atopic Dermatitis: A Phase 2, Randomized, Double-
Blind, Placebo-Controlled Study</t>
  </si>
  <si>
    <t>Guttman 2023 NCT03703102 Rocatinlimab</t>
  </si>
  <si>
    <t>An anti-OX40 antibody to treat moderate-to-severe atopic dermatitis: a multicentre, double-blind, placebo-controlled phase 2b study</t>
  </si>
  <si>
    <t>Rocatinlimab_150mg_Q4W</t>
  </si>
  <si>
    <t>Rocatinlimab_600mg_Q4W</t>
  </si>
  <si>
    <t>Rocatinlimab_300mg_Q2W</t>
  </si>
  <si>
    <t>Rocatinlimab_600mg_Q2W</t>
  </si>
  <si>
    <t>36509097</t>
  </si>
  <si>
    <t>36588137</t>
  </si>
  <si>
    <t>36116481</t>
  </si>
  <si>
    <t>36920778</t>
  </si>
  <si>
    <t>Silverberg 2023 NCT04178967 (ADvocate2)</t>
  </si>
  <si>
    <t>Silverberg 2023 NCT04146363 (ADvocate1)</t>
  </si>
  <si>
    <t>Data from investigators</t>
  </si>
  <si>
    <t>include</t>
  </si>
  <si>
    <t>A</t>
  </si>
  <si>
    <t>BC</t>
  </si>
  <si>
    <t>subgroup</t>
  </si>
  <si>
    <t>iga</t>
  </si>
  <si>
    <t>easi50</t>
  </si>
  <si>
    <t>easi75</t>
  </si>
  <si>
    <t>easi90</t>
  </si>
  <si>
    <t>Cyclosporine 2.5mg/kg PO OD</t>
  </si>
  <si>
    <t>Omalizumab 150-375mg SC q2-4 weeks</t>
  </si>
  <si>
    <t>Dupilumab 400 mg x1 then 100mg SC q4weeks</t>
  </si>
  <si>
    <t>Dupilumab 400 mg x1 then 200mg SC q2weeks</t>
  </si>
  <si>
    <t>Dupilumab 600 mg x1 then 300mg SC q4weeks</t>
  </si>
  <si>
    <t>Dupilumab 600 mg x1 then 300mg SC qweek</t>
  </si>
  <si>
    <t>Lebrikizumab 500 mg SC week 0 and 2 then 250 mg sc q2W</t>
  </si>
  <si>
    <t>Paller 2023 NCT03526861 (ECZTRA6)</t>
  </si>
  <si>
    <t>Original article/JAMA Dermatology and CT.gov</t>
  </si>
  <si>
    <t>37074705</t>
  </si>
  <si>
    <t>Silverberg 2023 NCT04162769 (ADVISE)</t>
  </si>
  <si>
    <t>36695074</t>
  </si>
  <si>
    <t>A Study to Assess the Efficacy and Safety of MSTT1041A in Participants With Moderate to Severe Atopic Dermatitis</t>
  </si>
  <si>
    <t>IGA≥3, EASI ≥16, BSA≥10%, PPNRS ≥3</t>
  </si>
  <si>
    <t>NCT03747575 (astegolimab)</t>
  </si>
  <si>
    <t>Astegolimab_245mg_490mg_q4w</t>
  </si>
  <si>
    <t>Astegolimab 245 mg then 490 mg sc q4w</t>
  </si>
  <si>
    <t>Protocol: "Patients who meet all eligibility criteria will be randomized to one of the two treatment groups through the web-based response system (IxRS) on the first day of dosing. Patients will be randomized in a 1:1 ratio to receive 490 mg SC MSTT1041A Q4W or placebo, and stratified by baseline disease severity IGA score (IGA = 3 vs. IGA = 4) and region."</t>
  </si>
  <si>
    <t>Enrolled number (65) is lower than plannned sample size (90); unclear if terminated early</t>
  </si>
  <si>
    <t>1/4-1/3 of participants dropped out in a small study</t>
  </si>
  <si>
    <t>NCT03533751 (Etokimab)</t>
  </si>
  <si>
    <t>Efficacy, Safety, and Pharmacokinetic Profile of Etokimab (ANB020) in Adult Participants With Moderate-to-Severe Atopic Dermatitis (ATLAS)</t>
  </si>
  <si>
    <t>03747575</t>
  </si>
  <si>
    <t>03533751</t>
  </si>
  <si>
    <t>Etokimab_20mg_q4w</t>
  </si>
  <si>
    <t>Etokimab_300mg_150mg_q8w</t>
  </si>
  <si>
    <t>Etokimab_300mg_150mg_q4w</t>
  </si>
  <si>
    <t>Etokimab_600mg_300mg_q4w</t>
  </si>
  <si>
    <t>Etikomab 20mg sc q4w</t>
  </si>
  <si>
    <t>Etokimab 300mg then 150mg q8w</t>
  </si>
  <si>
    <t>Etokimab 300mg then 150mg q4w</t>
  </si>
  <si>
    <t>Etokimab 600mg then 300mg q4w</t>
  </si>
  <si>
    <t>EASI 26.5</t>
  </si>
  <si>
    <t>EASI 29.8</t>
  </si>
  <si>
    <t>Protocol: "This is a randomized, double blind, placebo-controlled study with limited access to the randomization code. All subjects will be centrally assigned to randomized study treatment using an Interactive Web Response System (IXRS). As subjects become eligible they will be assigned sequential randomization numbers which will be used to assign the allocated treatment based on a randomization schedule."</t>
  </si>
  <si>
    <t>Protocol: "Study site personnel and patients will be blinded to treatment assignment during the study. The Sponsor and its agents will also be blinded to treatment assignment, with the exception of IxRS provider and prespecified personnel (e.g., IMC members)."</t>
  </si>
  <si>
    <t>Protocol: "The Sponsor, Investigator, site staff, and subjects will be blinded to treatment assignment and only the unblinded pharmacist or designee (examples include a state/country approved physician, registered nurse, etc.) will be aware of treatment assignment (etokimab or placebo).</t>
  </si>
  <si>
    <t>Protocol: "Etokimab and placebo will be identical in physical appearance. The Sponsor, Investigator, site staff, and subjects will be blinded to treatment assignment and only the unblinded pharmacist or designee (examples include a state/country approved physician, registered nurse, etc.) will be aware of treatment assignment (etokimab or placebo).</t>
  </si>
  <si>
    <t>Torrelo 2023 (BREEZE-AD PEDS)</t>
  </si>
  <si>
    <t>Efficacy and safety of baricitinib in combination with topical corticosteroids in paediatric patients with moderate-to-severe atopic dermatitis with an inadequate response to topical corticosteroids: results from a phase III, randomized, double-blind, placebo-controlled study (BREEZE-AD PEDS)</t>
  </si>
  <si>
    <t>Emollient and topical anti-inflammatory as prescribed</t>
  </si>
  <si>
    <t>2-17 years</t>
  </si>
  <si>
    <t>16 weeks; 124 weeks</t>
  </si>
  <si>
    <t>(1) IGA 0 or 1 and reduction of at least 2 points at week 16 (2) pharmacokinetic measures</t>
  </si>
  <si>
    <t>Baricitinib_1_5mg_OD</t>
  </si>
  <si>
    <t>Baricitinib 1 or 0.5 mg PO OD</t>
  </si>
  <si>
    <t>Baricitinib_2_1mg_OD</t>
  </si>
  <si>
    <t>Baricitinib 2 or 1 mg PO OD</t>
  </si>
  <si>
    <t>Baricitinib_4_2mg_OD</t>
  </si>
  <si>
    <t>Baricitinib 4 or 2 mg PO OD</t>
  </si>
  <si>
    <t>EASI 26.8</t>
  </si>
  <si>
    <t>EASI 25.3</t>
  </si>
  <si>
    <t>CLDQI</t>
  </si>
  <si>
    <t>03952559</t>
  </si>
  <si>
    <t>36999560</t>
  </si>
  <si>
    <t>Protocol: "Patients not participating in the PK lead-in who meet all criteria for enrollment will be randomized in a 1:1:1:1 ratio (placebo, baricitinib low dose; baricitinib medium dose; baricitinib high dose) to double-blind treatment at Visit 2. Assignment to treatment groups will be determined by a computer-generated random sequence using an interactive web-response system (IWRS)."</t>
  </si>
  <si>
    <t>Protocol: "Patients not participating in the PK lead-in who meet all criteria for enrollment will be randomized in a 1:1:1:1 ratio (placebo, baricitinib low dose; baricitinib medium dose; baricitinib high dose) to double-blind treatment at Visit 2. Assignment to treatment groups will be determined by a computer-generated random sequence using an interactive web-response system (IWRS). The IWRS will be used to assign blister packs or bottles containing double-blind IP to each patient according to the Study Schedule"</t>
  </si>
  <si>
    <t>Protocol: "All study assessments will be performed by study personnel who are blinded to the patient’s treatment group."</t>
  </si>
  <si>
    <t>Low dropout, appropriate analyses</t>
  </si>
  <si>
    <t>Prespecified and HOME outcomes reported</t>
  </si>
  <si>
    <t>Guttman USA 2021 (MEASURE UP 1) - New adolescents</t>
  </si>
  <si>
    <t>New adolescents added from Paller Upa Adolescents paper</t>
  </si>
  <si>
    <t>Guttman USA 2021 (MEASURE UP 2) - New adolescents</t>
  </si>
  <si>
    <t>Reich Germany 2021 (AD Up) - New adolescents</t>
  </si>
  <si>
    <t>Original article/JEADV, ct.gov</t>
  </si>
  <si>
    <t>Original article/JAMA Dermatology, CT.gov</t>
  </si>
  <si>
    <t>Original article/BJD, CT.gov</t>
  </si>
  <si>
    <t>Unlear</t>
  </si>
  <si>
    <t>Moderate dropout</t>
  </si>
  <si>
    <t>Merola USA 2023 (DUPISTAD; NCT04033367)</t>
  </si>
  <si>
    <t>Dupilumab significantly improves sleep in adults with atopic dermatitis: results from the 12-week placebo-controlled period of the 24-week phase IV randomized double-blinded placebo-controlled DUPISTAD study</t>
  </si>
  <si>
    <t>Full text/BJD and Abstracts/BJD and JAAD</t>
  </si>
  <si>
    <t>37562034</t>
  </si>
  <si>
    <t>04212169</t>
  </si>
  <si>
    <t>Efficacy and Safety of MEDI3506 in Adult Subjects With Atopic Dermatitis</t>
  </si>
  <si>
    <t>NCT04212169 (MEDI3506)</t>
  </si>
  <si>
    <t>Emollients; TCS, TCI and other anti-inflammatory prohibited</t>
  </si>
  <si>
    <t>MEDI3506_Dose1_q4w</t>
  </si>
  <si>
    <t>MEDI3506_Dose2_q4w</t>
  </si>
  <si>
    <t>MEDI3506_Dose3_q4w</t>
  </si>
  <si>
    <t>MEDI3506 Dose1 SC q4w</t>
  </si>
  <si>
    <t>MEDI3506 Dose 3 SC q4w</t>
  </si>
  <si>
    <t>MEDI3506 Dose 2 SC q4w</t>
  </si>
  <si>
    <t>EASI 28.36</t>
  </si>
  <si>
    <t>EASI 28.94</t>
  </si>
  <si>
    <t>EASI 28.81</t>
  </si>
  <si>
    <t>From protocol: "Neither the subject nor any of the investigator or sponsor staff who are involved in the treatment or clinical evaluation of the subjects will be aware of the treatment received (ICHE9; see Section4.6.3.3for unblinding related to planned analyses). Since MEDI3506 and placebo are not identical, investigational product will be handled by an unblinded investigational product manager at the site and will be administered by an unblinded study team member who will not be involved in the management of study subjects."</t>
  </si>
  <si>
    <t>Low dropout, balanced between arms</t>
  </si>
  <si>
    <t>16 weeks; indefinite</t>
  </si>
  <si>
    <t>Adverse events</t>
  </si>
  <si>
    <t>Flohr 2023 (TREAT)</t>
  </si>
  <si>
    <t>Efficacy and safety of ciclosporin versus methotrexate in the treatment of severe atopic dermatitis in children and young people (TREAT): a multicentre parallel group assessor-blinded clinical trial</t>
  </si>
  <si>
    <t>37722926</t>
  </si>
  <si>
    <t>ISRCTN1583774</t>
  </si>
  <si>
    <t>2-16 years</t>
  </si>
  <si>
    <t>o-SCORAD ≥30</t>
  </si>
  <si>
    <t>sb</t>
  </si>
  <si>
    <t>36 weeks; 60 weeks</t>
  </si>
  <si>
    <t>(1) Change in o-SCORAD from baseline to week 12 (2) Time to significant flare after treatment cessation</t>
  </si>
  <si>
    <t>Cyclosporine 4 mg/kg PO divided in two daily doses</t>
  </si>
  <si>
    <t>Methotrexate 0.1 mg/kg then 0.4 mg/kg weekly</t>
  </si>
  <si>
    <t>Methotrexate_04mg_kg_qw</t>
  </si>
  <si>
    <t>EASI 27.12</t>
  </si>
  <si>
    <t>"Patients were randomly assigned CyA or MTX in a 1 : 1 ratio at the baseline visit using an online randomization program, which concealed allocation and was controlled centrally by the Liverpool Clinical Trials Centre."</t>
  </si>
  <si>
    <t>Participants, families and other personnel (other than assessors) were unblinded.</t>
  </si>
  <si>
    <t>25% dropout in MTX arm vs 12% dropout in CsA arm</t>
  </si>
  <si>
    <t>Igarashi 2023 (Nemo Peds)</t>
  </si>
  <si>
    <t>Efficacy and safety of nemolizumab in paediatric patients aged 6-12 years with atopic dermatitis with moderate-to-severe pruritus: Results from a phase III, randomised, double-blind, placebo-controlled, multicentre study</t>
  </si>
  <si>
    <t>jRCT2080225289</t>
  </si>
  <si>
    <t>37522351</t>
  </si>
  <si>
    <t>TCI and TCS allowed</t>
  </si>
  <si>
    <t>6-12 years</t>
  </si>
  <si>
    <t>Pruritus ≥3/5, EASI ≥10</t>
  </si>
  <si>
    <t>Change in weekly mean 5-level itch score</t>
  </si>
  <si>
    <t>Nemolizumab_30mg_q4w</t>
  </si>
  <si>
    <t>Nemolizumab 40mg sc q4 weeks</t>
  </si>
  <si>
    <t>EASI 19.8</t>
  </si>
  <si>
    <t>EASI 16.2</t>
  </si>
  <si>
    <t>"receive nemolizumab 30 mg or placebo (an identical formulation lacking the active product)."</t>
  </si>
  <si>
    <t>No dropouts</t>
  </si>
  <si>
    <t>TCS or TCI may be used</t>
  </si>
  <si>
    <t>18-55 years</t>
  </si>
  <si>
    <t>16 weeks; 26 weeks</t>
  </si>
  <si>
    <t>Vaccine responses</t>
  </si>
  <si>
    <t>Protocol: "Assignment to treatment groups will be determined by a computer-generated random sequence using an interactive web-response system (IWRS)."</t>
  </si>
  <si>
    <t>Double blind; Protocol: "Placebo solution is identical in appearance and content to the active solution except for lebrikizumab."</t>
  </si>
  <si>
    <t>Much higher dropout in placebo</t>
  </si>
  <si>
    <t>04626297</t>
  </si>
  <si>
    <t>04760314</t>
  </si>
  <si>
    <t>16 weeks; 68 weeks</t>
  </si>
  <si>
    <t>Lebrikizumab 500 mg SC week 0 and 2 then 250 mg sc q4W</t>
  </si>
  <si>
    <t>Protocol: "All participants will be centrally assigned to randomized study intervention using an interactive web response system (IWRS)."</t>
  </si>
  <si>
    <t>"The placebo has similar composition to the active drugproduct with the exceptionofabsence of the drug substance lebrikizumab."</t>
  </si>
  <si>
    <t>Low dropout</t>
  </si>
  <si>
    <t>An Evaluation of LEO 138559 in Adults With Moderate to Severe Atopic Dermatitis.</t>
  </si>
  <si>
    <t>NCT04922021 (LEO 138559)</t>
  </si>
  <si>
    <t>No TCS, TCI, topical PDE-4 inhibitors, or other topical prescription treatments</t>
  </si>
  <si>
    <t>Change in EASI to week 16</t>
  </si>
  <si>
    <t>LEO 138559 450 mg SC Q2W</t>
  </si>
  <si>
    <t>LEO138559_450mg_Q2w</t>
  </si>
  <si>
    <t>EASI 26.93</t>
  </si>
  <si>
    <t>EASI 26.12</t>
  </si>
  <si>
    <t>Protocol: :"At baseline (Visit 3, Week 0), eligible subjects will be randomised 1:1 to 1 of 2 treatment groups: LEO 138559 or placebo. Randomisation will be stratified by baseline disease severity. One stratum, ‘stratum A’, will be defined as having EASI &lt;21 and the other stratum, ‘stratum B’, will be defined as having EASI ≥21. IRT will be used to control randomisation and stratification factors."</t>
  </si>
  <si>
    <t>A Study to Evaluate the Safety and Efficacy of Bermekimab in Patients With Moderate to Severe Atopic Dermatitis</t>
  </si>
  <si>
    <t>04021862</t>
  </si>
  <si>
    <t>04922021</t>
  </si>
  <si>
    <t>TCS and TCI only as rescue</t>
  </si>
  <si>
    <t>EASI-75 at week 16</t>
  </si>
  <si>
    <t>NCT04021862 (Bermekimab)</t>
  </si>
  <si>
    <t>16 weeks; 36 weeks</t>
  </si>
  <si>
    <t>Bermekimab 800 mg then 400 mg sc q2w</t>
  </si>
  <si>
    <t>Bermekimab 800 mg then 400 mg sc qw</t>
  </si>
  <si>
    <t>Bermekimab_800mg_400mg_q2w</t>
  </si>
  <si>
    <t>Bermekimab_800mg_400mg_qw</t>
  </si>
  <si>
    <t>Protocol: "A centralized block randomization schedule with a 1:1:1 allocation ratio will be utilized using an electronic randomization system."</t>
  </si>
  <si>
    <t>Protocol: "In order to maintain blinding, all patients will receive two injections at week 0and 16, followed by weekly injections from week 1 to 31.Additionally, at least one qualified individual will be designated at each study site to perform all preparation and injection of the investigational product."</t>
  </si>
  <si>
    <t>04444752</t>
  </si>
  <si>
    <t>USA/multicentre</t>
  </si>
  <si>
    <t>TCS as rescue</t>
  </si>
  <si>
    <t>EASI 24.61</t>
  </si>
  <si>
    <t>EASI 27.57</t>
  </si>
  <si>
    <t>EASI 23.08</t>
  </si>
  <si>
    <t>EASI 25.16</t>
  </si>
  <si>
    <t>Protocol: "A placebo control will be used to establish the frequency and magnitude of changes in clinical endpoints that may occur in the absence of active treatment as well as to minimize subject and investigator bias. Double-blinded treatments will be used to reduce potential bias of subjects and investigators during data collection and evaluation of clinical endpoints."</t>
  </si>
  <si>
    <t>Vyas 2023</t>
  </si>
  <si>
    <t>A single-centre prospective study comparing efficacy and safety of apremilast with cyclosporine in moderate to severe atopic dermatitis</t>
  </si>
  <si>
    <t>37488939</t>
  </si>
  <si>
    <t>India/ Single centre</t>
  </si>
  <si>
    <t>Triamcinolone as rescue</t>
  </si>
  <si>
    <t>12-65 years</t>
  </si>
  <si>
    <t>% Chage from baseline in EASI at week 24</t>
  </si>
  <si>
    <t>Apremilast 30mg PO BID</t>
  </si>
  <si>
    <t>Cyclosporine 5mg/kg PO daily</t>
  </si>
  <si>
    <t>EASI 32.69</t>
  </si>
  <si>
    <t>EASI 32.91</t>
  </si>
  <si>
    <t>Funding source not specified</t>
  </si>
  <si>
    <t>Safety and efficacy of amlitelimab, a fully human, non-depleting, non-cytotoxic anti-OX40Ligand monoclonal antibody, in atopic dermatitis: results of a phase IIa randomised placebo-controlled trial</t>
  </si>
  <si>
    <t>Weidinger 2023 (Amlitelimab)</t>
  </si>
  <si>
    <t>Original article/Australas J Dermatol</t>
  </si>
  <si>
    <t>37463508</t>
  </si>
  <si>
    <t>03754309</t>
  </si>
  <si>
    <t>Co-primary: 1) % Chage from baseline in EASI at week 16 and 2) TEAEs</t>
  </si>
  <si>
    <t>No protocol/registration</t>
  </si>
  <si>
    <t>Amlitelimab 200 mg then 100 mg IV q4w</t>
  </si>
  <si>
    <t>Amlitelimab 500 mg then 250 mg IV q4w</t>
  </si>
  <si>
    <t>Amlitelimab_500mg_250mg_q4w</t>
  </si>
  <si>
    <t>Amlitelimab_200mg_100mg_q4w</t>
  </si>
  <si>
    <t>EASI 32.8</t>
  </si>
  <si>
    <t>S</t>
  </si>
  <si>
    <t>"Patients were centrally randomized, and randomization was stratified by a baseline EASI score of ≤ 21 (moderate disease) or &gt; 21 (severe disease). Patients were allocated a randomization number using an interactive response technology system prepared by Trial Form Support (TFS) International (Lund, Sweden); patient randomization lists were generated using SAS version 9.4 (SAS Institute, Cary, NC, USA)."</t>
  </si>
  <si>
    <t>"All patients, investigators, the sponsor, TFS, clinical laboratories and the independent data monitoring committee were masked to treatment assignment except for monitors responsible for drug storage and preparation, and drug concentration analysis (EuroFins); the randomization statistician and the unblinded statistician required for the independent data monitoring committee; and safety personnel."</t>
  </si>
  <si>
    <t>HOME outcome set reported</t>
  </si>
  <si>
    <t>37482623</t>
  </si>
  <si>
    <t>Zhao 2023 (CM310)</t>
  </si>
  <si>
    <t>Efficacy and safety of CM310 in moderate-to-severe atopic dermatitis: A multicenter, randomized, double-blind, placebo-controlled phase 2b trial</t>
  </si>
  <si>
    <t>Original article/ Chinese Med J</t>
  </si>
  <si>
    <t>China/ multi-centre</t>
  </si>
  <si>
    <t>04805411</t>
  </si>
  <si>
    <t>Moisturizers; TCS, TCI, systemic steroids as rescue</t>
  </si>
  <si>
    <t>18-70</t>
  </si>
  <si>
    <t>CM310_600mg_300mg_q2w</t>
  </si>
  <si>
    <t>CM310_300mg_150mg_q2w</t>
  </si>
  <si>
    <t>EASI 26.25</t>
  </si>
  <si>
    <t>EASI 30.07</t>
  </si>
  <si>
    <t>EASI 26.28</t>
  </si>
  <si>
    <t>"The enrolled patients were randomly allocated to the placebo group or CM310 groups. Patient and drug randomization lists were generated via SAS (version 9.4, SAS Institute Inc., Cary, USA) with a permuted block size of six and then imported into Interactive Web Response System. All patients and trial personnel were blinded to all randomization procedures."</t>
  </si>
  <si>
    <t>CM310 600mg then 300mg sc q2w</t>
  </si>
  <si>
    <t>CM310 300mg then 150mg sc q2w</t>
  </si>
  <si>
    <t>Protocol: "a subject identification (SID) number will be assigned by a central system (ie, an interactive voice/web response system [IXRS])...once a subject has been fully assessed as meeting the eligibility criteria, the central IXRS system will be used to randomize the subject"</t>
  </si>
  <si>
    <t>Emollient, antiseptic bath additives, mild-to-potent TCS, TCI, oral antibiotics, oral antihistamines, rescue oral corticosteroids</t>
  </si>
  <si>
    <t>Protocol: "Following each severity assessment, the blinded assessor will be asked whether they had become unblinded to the allocation and this information will be recorded in the Case Report Form. If the blinded assessor does become unblinded, this will be used to inform a sensitivity analysis."</t>
  </si>
  <si>
    <t>"Patients were randomly assigned in a 1 : 1 ratio through an interactive Web-response system…"</t>
  </si>
  <si>
    <t>High drop out rate 1/2; differential dropout between arms.</t>
  </si>
  <si>
    <t>Protocol: "Neither the subject nor any of the investigators or LEO Pharma staff (except unblinded CRAs) who are involved in the clinical evaluation and monitoring of the subjects will be aware of the treatment received. IMP will be prepared, handled, and administered by a qualified, unblinded HCP at the site who will not be involved in the management of trial subjects and who will not perform any of the assessments."</t>
  </si>
  <si>
    <t>Protocol: "At baseline (Visit 3, Week 0), eligible subjects will be randomised 1:1 to 1 of 2 treatment groups: LEO 138559 or placebo. Randomisation will be stratified by baseline disease severity. One stratum, ‘stratum A’, will be defined as having EASI &lt;21 and the other stratum, ‘stratum B’, will be defined as having EASI ≥21. IRT will be used to control randomisation and stratification factors."</t>
  </si>
  <si>
    <t>Protocol: "LEO 138559 placebo contains the same excipients in the same concentration as LEO 138559, except for the medical ingredient LEO 138559."</t>
  </si>
  <si>
    <t>Relatively high dropout for continuous measures; differential between arms</t>
  </si>
  <si>
    <t>There are two IGA outcomes in the paper. We preferentially extract the combination of 2 point improvement and reaching 0/1</t>
  </si>
  <si>
    <t>Rewerska 2024 (NCT03568162) - 1</t>
  </si>
  <si>
    <t>Rewerska 2024 (NCT03568162) - 2</t>
  </si>
  <si>
    <t>Phase 2b randomized trial of OX40 inhibitor telazorlimab for moderate-to-severe atopic dermatitis</t>
  </si>
  <si>
    <t>Full text/JACI Global, CT.gov</t>
  </si>
  <si>
    <t>Telazorlimab_300mg_Q2W</t>
  </si>
  <si>
    <t>Telazorlimab_300mg_Q4W</t>
  </si>
  <si>
    <t>Telazorlimab_75mg_Q4W</t>
  </si>
  <si>
    <t>Telazorlimab_600mg_q2w</t>
  </si>
  <si>
    <t>38187863</t>
  </si>
  <si>
    <t>Guttman 2023 NCT03915496 (JADE MOA)</t>
  </si>
  <si>
    <t>38108208</t>
  </si>
  <si>
    <t>Silverberg 2023 rademikibart (NCT04444752)</t>
  </si>
  <si>
    <t>Efficacy and safety of rademikibart (CBP-201), a next-generation mAb targeting IL-4Rα, in adults with moderate to severe atopic dermatitis: A phase 2 randomized trial (CBP-201-WW001)</t>
  </si>
  <si>
    <t>Full text/JACI, CT.gov</t>
  </si>
  <si>
    <t>38157942</t>
  </si>
  <si>
    <t>"Patients were randomly assigned to the rademikibart arms or placebo using a central randomization scheme, provided by a web-based interactive response system. The patient, site personnel, sponsor, and designees directly involved in the conduct and/or monitoring of the study were fully blinded to the treatment group assignments."</t>
  </si>
  <si>
    <t>Safety and efficacy of eblasakimab, an interleukin 13 receptor α1 monoclonal antibody, in adults with moderate-to-severe atopic dermatitis: A phase 1b, multiple-ascending dose study</t>
  </si>
  <si>
    <t>Original article/ JAAD</t>
  </si>
  <si>
    <t>Treatment-emergent adverse events</t>
  </si>
  <si>
    <t>Veverka 2023 Eblasakimab</t>
  </si>
  <si>
    <t>Eblasakimab_200mg_qw</t>
  </si>
  <si>
    <t>Eblasakimab_400mg_qw</t>
  </si>
  <si>
    <t>Eblasakimab_600mg_qw</t>
  </si>
  <si>
    <t>Eblasakimab 200mg sc qw</t>
  </si>
  <si>
    <t>Eblasakimab 400mg sc qw</t>
  </si>
  <si>
    <t>Eblasakimab 600mg sc qw</t>
  </si>
  <si>
    <t>EASI 31.5</t>
  </si>
  <si>
    <t>"Following screening, eligible patients were given a unique randomization number via the Randomization and Trial Supply Management system and randomized 3:1 in 3 cohorts to receive subcutaneous injections of eblasakimab in ascending doses (200, 400, or 600 mg), or placebo, every week for 8 weeks."</t>
  </si>
  <si>
    <t>"Patients, investigators, and the sponsor were blinded to study treatment." Protocol: The presentation of the placebo will be identical in appearance
to ASLAN004."</t>
  </si>
  <si>
    <t>20-30% dropout in each arm; small study so that much dropout could have impact on results</t>
  </si>
  <si>
    <t>A number of participants at a site excluded based on suspecting they did not have AD. With such a small study, those few exclusions could have a substantial impact on results</t>
  </si>
  <si>
    <t>Measures of variance not presented with continuous outcome measures; protocol provided in supplement but trial registry information not given</t>
  </si>
  <si>
    <t>37866456</t>
  </si>
  <si>
    <t>04800315</t>
  </si>
  <si>
    <t>% Chage from baseline in EASI at week 16</t>
  </si>
  <si>
    <t>Protocol: 'Randomization will occur on Day 1 (Baseline) through the use of Interactive Response
Technology (IRT) system, also referred to as an Interactive Web Response System (IWRS)
system."</t>
  </si>
  <si>
    <t>Protocol: "Blinded persons may include but are not limited to: Clinical Research Physician (also referred to
as Clinical Trial Physician), Clinical Research Scientist, Clinical Trial Manager, Study
Statistician, Data Manager, Programmers, and Clinical Research Associates (CRAs)." Matching placebo</t>
  </si>
  <si>
    <t>Moisturizer BID; TCS as rescue</t>
  </si>
  <si>
    <t>From</t>
  </si>
  <si>
    <t>Subject</t>
  </si>
  <si>
    <t>Received</t>
  </si>
  <si>
    <t>Size</t>
  </si>
  <si>
    <t>Categories</t>
  </si>
  <si>
    <t>WCethics</t>
  </si>
  <si>
    <t>REB exemption application - CIHR Psoriasis topicals NMA</t>
  </si>
  <si>
    <t>73 KB</t>
  </si>
  <si>
    <t>Danto 2023 (PF-06817024; NCT02743871)</t>
  </si>
  <si>
    <t>Safety, Tolerability, Pharmacokinetics, and Pharmacodynamics of PF-06817024 in Healthy Participants, Participants with Chronic Rhinosinusitis with Nasal Polyps, and Participants with Atopic Dermatitis:A Phase 1, Randomized, Double-Blind, Placebo-Controlled Study</t>
  </si>
  <si>
    <t>A Study to Assess the Efficacy and Safety of CMK389 in Patients With Moderate to Severe Atopic Dermatitis.</t>
  </si>
  <si>
    <t>04836858</t>
  </si>
  <si>
    <t>NCT04836858 CMK389</t>
  </si>
  <si>
    <t>IGA≥3, EASI ≥12, PPNRS ≥3</t>
  </si>
  <si>
    <t>vIGA 0 or 1 and reduction of at least 2 points at week 16</t>
  </si>
  <si>
    <t>CMK389 10mg/kg IV q4w</t>
  </si>
  <si>
    <t>CMK389 300mg sc q4w</t>
  </si>
  <si>
    <t>NOTE: There are 2 placebo arms: IV and SC; I've pooled them here and in outcomes</t>
  </si>
  <si>
    <t>CMK389_10mgkg_q4w</t>
  </si>
  <si>
    <t>CMK389_300mg_q4w</t>
  </si>
  <si>
    <t>Protocol: "The randomization numbers will be generated using the following procedure to ensure that treatment assignment is unbiased and concealed from participants and investigator staff. A participant randomization list will be produced by the Novartis IRT (NIRT), using a validated system that automates the random assignment of participant numbers to randomization numbers. These randomization numbers are linked to the different treatment arms."</t>
  </si>
  <si>
    <t>From protocol: "With the exception of any unblinded site staff identified below, all site staff (including study investigator and study nurse) will be blinded to study treatment throughout the study." "Appropriate measures must be taken by the unblinded pharmacist to ensure that the treatment assignments are concealed from the rest of the site staff."</t>
  </si>
  <si>
    <t>Ebisawa 2024</t>
  </si>
  <si>
    <t>Efficacy and safety of dupilumab with concomitant topical corticosteroids in Japanese pediatric patients with moderate-to-severe atopic dermatitis: A randomized, double-blind, placebo-controlled phase 3 study</t>
  </si>
  <si>
    <t>04678882</t>
  </si>
  <si>
    <t>38735810</t>
  </si>
  <si>
    <t>Original article/ Allergology Int'l</t>
  </si>
  <si>
    <t>Japan/ multi-centre</t>
  </si>
  <si>
    <t>6 months - 18 years</t>
  </si>
  <si>
    <t>Medium-potency TCS, emollients</t>
  </si>
  <si>
    <t>Dupilumab_wt_based</t>
  </si>
  <si>
    <t>Note: Dupi weight-based regimen is very complex so I just named it weight-based</t>
  </si>
  <si>
    <t>"Randomization was conducted by a central interactive web response system and stratified by age groups (≥6 months to &lt;6 years, ≥6 to &lt;12 years, and ≥12 to &lt;18 years). For the ≥6 to &lt;12 years age group, randomization was further stratified by IGA score (3 vs 4) at baseline."</t>
  </si>
  <si>
    <t>"Patients were randomly assigned 1:1 to receive either dupilumab or matched placebo"</t>
  </si>
  <si>
    <t>Description for plots</t>
  </si>
  <si>
    <t>Cyclosporine 2.5mg/kg OD</t>
  </si>
  <si>
    <t>Cyclosporine 3mg/kg OD</t>
  </si>
  <si>
    <t>Cyclosporine 4mg/kg OD</t>
  </si>
  <si>
    <t>Cyclosporine 5mg/kg OD</t>
  </si>
  <si>
    <t>Nemolizumab 0.1mg/kg q4w</t>
  </si>
  <si>
    <t>Nemolizumab 0.5mg/kg q4w</t>
  </si>
  <si>
    <t>Abrocitinib 100 OD</t>
  </si>
  <si>
    <t>Abrocitinib 10 OD</t>
  </si>
  <si>
    <t>Abrocitinib 200 OD</t>
  </si>
  <si>
    <t>Abrocitinib 30 OD</t>
  </si>
  <si>
    <t>Apremilast 30 BID</t>
  </si>
  <si>
    <t>Apremilast 40 BID</t>
  </si>
  <si>
    <t>Azathioprine 1.5-2.5 mg/kg</t>
  </si>
  <si>
    <t>Azathioprine 2.5 mg/kg</t>
  </si>
  <si>
    <t>Azathioprine TPMT-adjusted</t>
  </si>
  <si>
    <t>Baricitinib 1 OD</t>
  </si>
  <si>
    <t>Baricitinib 2 OD</t>
  </si>
  <si>
    <t>Baricitinib 4 OD</t>
  </si>
  <si>
    <t>Cyclosporine 150 OD</t>
  </si>
  <si>
    <t>Cyclosporine 300 OD</t>
  </si>
  <si>
    <t>Dupilumab 200 or 300 q4 weeks (weight-based)</t>
  </si>
  <si>
    <t xml:space="preserve">Dupilumab q2w </t>
  </si>
  <si>
    <t>weight-based: 15–&lt;30 kg, 200 mg then 100 mg q2w; ≥30 kg, 400 mg then 200 mg q2w</t>
  </si>
  <si>
    <t>Daily</t>
  </si>
  <si>
    <t>Dupilumab 300 q1w</t>
  </si>
  <si>
    <t>Dupilumab 300 q2w</t>
  </si>
  <si>
    <t>Dupilumab 400 then 100 q4w</t>
  </si>
  <si>
    <t>Dupilumab 400 then 200 q1w</t>
  </si>
  <si>
    <t>Dupilumab 400 then 200 q2w</t>
  </si>
  <si>
    <t>Dupilumab 600 then 300 q1w</t>
  </si>
  <si>
    <t>Dupilumab 600 then 300 q2w</t>
  </si>
  <si>
    <t>Dupilumab 600 then 300 q2w weeks OR 400 then 200 q2w(weight-based)</t>
  </si>
  <si>
    <t>Dupilumab 600 then 300 q4w</t>
  </si>
  <si>
    <t>Fevipiprant 450 OD</t>
  </si>
  <si>
    <t>Fezakinumab 300 q2w</t>
  </si>
  <si>
    <t>Fezakinumab 600 then 300 q2w</t>
  </si>
  <si>
    <t xml:space="preserve">GBR 830 10mg/kg day 1 and 29 </t>
  </si>
  <si>
    <t>INF-Y 0.5×106 IU/m3 3x/week</t>
  </si>
  <si>
    <t>INF-y 1.5×106 IU/m3 3x/week</t>
  </si>
  <si>
    <t>INF-y 50 ug/m2 OD</t>
  </si>
  <si>
    <t>Telazorlimab 600 then 300 q4w</t>
  </si>
  <si>
    <t>Telazorlimab 600 then 300 q2w</t>
  </si>
  <si>
    <t>Telazorlimab 1200 then 600 q2w</t>
  </si>
  <si>
    <t>Telazorlimab 150 then 75 q4w</t>
  </si>
  <si>
    <t>IVIG 2 g/kg/month</t>
  </si>
  <si>
    <t>Rocatinlimab 150 q4w</t>
  </si>
  <si>
    <t>Rocatinlimab 300 q2w</t>
  </si>
  <si>
    <t>Rocatinlimab 600 q2w</t>
  </si>
  <si>
    <t>Rocatinlimab 600 q4w</t>
  </si>
  <si>
    <t>Lebrikizumab 125 x1</t>
  </si>
  <si>
    <t>Lebrikizumab 125 q4w</t>
  </si>
  <si>
    <t>Lebrikizumab 250 then 125 q4w</t>
  </si>
  <si>
    <t>Lebrikizumab 250 x1</t>
  </si>
  <si>
    <t>Lebrikizumab 500 then 250 q2w</t>
  </si>
  <si>
    <t>Lebrikizumab 500 then 250 q4w</t>
  </si>
  <si>
    <t>Methotrexate 10-22.5 qweek</t>
  </si>
  <si>
    <t>Methotrexate 15 qweek for 8 weeks then +/- increased to 25 qweek for 16 weeks</t>
  </si>
  <si>
    <t>Methotrexate 5mg then 7.5 qweek</t>
  </si>
  <si>
    <t>Nemolizumab 20 then 10 q4w</t>
  </si>
  <si>
    <t>Nemolizumab 2mg/kg q4w</t>
  </si>
  <si>
    <t>Nemolizumab 2mg/kg q8w</t>
  </si>
  <si>
    <t>Nemolizumab 60 then 30 q4w</t>
  </si>
  <si>
    <t>Nemolizumab 60 q4w</t>
  </si>
  <si>
    <t>Nemolizumab 90 q4w</t>
  </si>
  <si>
    <t>Omalizumab 150-375 q2-4 weeks</t>
  </si>
  <si>
    <t>PF06817024 600 then 300 q4w</t>
  </si>
  <si>
    <t>Risankizumab 150 at 0 &amp; 4wk</t>
  </si>
  <si>
    <t>Risankizumab 300 at 0 &amp; 4wk</t>
  </si>
  <si>
    <t>SHR0302 4 OD</t>
  </si>
  <si>
    <t>SHR0302 8 OD</t>
  </si>
  <si>
    <t>Tacrolimus 0.1% ung BID</t>
  </si>
  <si>
    <t>Tezepelumab 280 q2w</t>
  </si>
  <si>
    <t>ASN002 40 OD</t>
  </si>
  <si>
    <t>ASN002 60 OD</t>
  </si>
  <si>
    <t>ASN002 80 OD</t>
  </si>
  <si>
    <t>Spesolimab 600 q4w</t>
  </si>
  <si>
    <t>Tralokinumab 150 q2w</t>
  </si>
  <si>
    <t>Tralokinumab 300 then 150 q2w</t>
  </si>
  <si>
    <t>Astegolimab 245 then 490 q4w</t>
  </si>
  <si>
    <t>Etokimab 300 then 150 q4w</t>
  </si>
  <si>
    <t>Etokimab 600 then 300 q4w</t>
  </si>
  <si>
    <t>Tralokinumab 300 q2w</t>
  </si>
  <si>
    <t>Tralokinumab 45 q2w</t>
  </si>
  <si>
    <t>Tralokinumab 600 then 300 q2w</t>
  </si>
  <si>
    <t>Upadacitinib 15 OD</t>
  </si>
  <si>
    <t>Upadacitinib 30 OD</t>
  </si>
  <si>
    <t>Upadacitinib 7.5 OD</t>
  </si>
  <si>
    <t>Ustekinumab 45 or 90 at 0, 4 &amp; 16wk</t>
  </si>
  <si>
    <t>Ustekinumab 45 at 0 &amp; 4wk</t>
  </si>
  <si>
    <t>Ustekinumab 90 at 0 &amp; 4wk</t>
  </si>
  <si>
    <t>UVAB Phototherapy</t>
  </si>
  <si>
    <t>Up to maximal doses of 15 J/cm2 of UVA and 0.26 J/cm2 of UVB 2-3/week</t>
  </si>
  <si>
    <t>ZPL3893787 30 OD</t>
  </si>
  <si>
    <t>Estrasimod 1 OD</t>
  </si>
  <si>
    <t>Estrasimod 2 OD</t>
  </si>
  <si>
    <t>MEDI3506 Dose1 q4w</t>
  </si>
  <si>
    <t>Bermekimab 800 then 400 q2w</t>
  </si>
  <si>
    <t>Amlitelimab 200 then 100 q4w</t>
  </si>
  <si>
    <t>Etikomab 20 q4w</t>
  </si>
  <si>
    <t>Etokimab 300then 150 q8w</t>
  </si>
  <si>
    <t>Baricitinib 1 or 0.5 OD</t>
  </si>
  <si>
    <t>Baricitinib 2 or 1OD</t>
  </si>
  <si>
    <t>Baricitinib 4 or 2 OD</t>
  </si>
  <si>
    <t>MEDI3506 Dose 2 q4w</t>
  </si>
  <si>
    <t>MEDI3506 Dose 3 q4w</t>
  </si>
  <si>
    <t>Nemolizumab 40 q4 weeks</t>
  </si>
  <si>
    <t>LEO 138559 450 Q2W</t>
  </si>
  <si>
    <t>Amlitelimab 500 then 250 q4w</t>
  </si>
  <si>
    <t>CM310 600 then 300 q2w</t>
  </si>
  <si>
    <t>CM310 300 then 150 q2w</t>
  </si>
  <si>
    <t>Bermekimab 800 then 400 qw</t>
  </si>
  <si>
    <t>CMK389 300 q4w</t>
  </si>
  <si>
    <t>Eblasakimab 200 qw</t>
  </si>
  <si>
    <t>Eblasakimab 400 qw</t>
  </si>
  <si>
    <t>Eblasakimab 600 qw</t>
  </si>
  <si>
    <t>CMK389 10mg/kg q4w</t>
  </si>
  <si>
    <t>5-&lt;15kg, 200mg q4 weeks; 15–&lt;30 kg, 300mg q4w; 30-&lt;60 kg, 400mg then 200mg q2w; ≥30-60 kg, 600mg then 300mg q2 weeks)</t>
  </si>
  <si>
    <t>Dupilumab (weight-based)</t>
  </si>
  <si>
    <t>A Study to Evaluate the Efficacy and Safety of CBP-201 in Moderate to Severe Atopic Dermatitis in China</t>
  </si>
  <si>
    <t>16 weeks; 60 weeks</t>
  </si>
  <si>
    <t>Rademikibart_600mg_150mg_Q2W</t>
  </si>
  <si>
    <t>Rademikibart_600mg_300mg_Q2W</t>
  </si>
  <si>
    <t>Rademikibart_600mg_300mg_Q4W</t>
  </si>
  <si>
    <t>Rademikibart 600 then 150 q2w</t>
  </si>
  <si>
    <t>Rademikibart 600 then 300 q2w</t>
  </si>
  <si>
    <t>Rademikibart 600 then 300 q4w</t>
  </si>
  <si>
    <t>NCT05017480 (Rademikibart)</t>
  </si>
  <si>
    <t>Rademikibart 600 mg then 300mg SC Q2W</t>
  </si>
  <si>
    <t>Rademikibart 600mg then 300mg SC Q4W</t>
  </si>
  <si>
    <t>Rademikibart 600mg then 150mg SC Q2W</t>
  </si>
  <si>
    <t>Insufficient details given in protocol</t>
  </si>
  <si>
    <t>From protocol: "Double-blind treatment will be used to reduce the potential bias of subjects and investigators during data collection and assessment of clinical endpoints. During the study period, double-blind treatment group assignment will be adopted. Subjects, study site staff, the sponsor, and personnel designated by the sponsor directly involved in the conduct and/or monitoring of this study shall not be aware of the status of treatment group assignment."</t>
  </si>
  <si>
    <t>Efficacy and Safety of LEO 152020 Tablets for the Treatment of Adults With Moderate to Severe Atopic Dermatitis</t>
  </si>
  <si>
    <t>NCT05117060 (LEO 152020)</t>
  </si>
  <si>
    <t>IGA≥3, EASI 7.1-50</t>
  </si>
  <si>
    <t>LEO 152020 High dose</t>
  </si>
  <si>
    <t>LEO 152020 Middle dose</t>
  </si>
  <si>
    <t>LEO 152020 Low dose</t>
  </si>
  <si>
    <t>LEO152020_High</t>
  </si>
  <si>
    <t>LEO152020_Middle</t>
  </si>
  <si>
    <t>LEO152020_Low</t>
  </si>
  <si>
    <t>Protocol: "The IRT system will be used to control randomization and to track stratification"</t>
  </si>
  <si>
    <t>Protocol: "Within the strata defined by baseline disease severity (EASI at baseline) and region (Japan, non-Japanese countries), subjects will be randomized in a 4:3:3:4 ratio, using a permuted block design."</t>
  </si>
  <si>
    <t>Protocol: "Dispensing of the IMP will be handled by an IRT system. At each dispensing visit, the IRT system will assign any required kit number(s) to the subject." "The packaging and labelling of the IMPs will contain no evidence of their identity. LEO 152020 film-coated tablets 50 mg and LEO 152020 placebo film-coated tablets have been designed to look alike (same size and color) and telling them apart by sensory evaluation is not considered possible."</t>
  </si>
  <si>
    <t>Protocol: "Triple blinding (subject, investigator, and assessor of the data/study outcome [sponsor]) from randomization to formal unblinding of the trial will be applied."</t>
  </si>
  <si>
    <t>Moderate dropout, similar between placebo and high-dose arms</t>
  </si>
  <si>
    <t>Dupilumab (sc weight-based: 5-&lt;15kg, 200mg q4 weeks; 15–&lt;30 kg, 300mg q4w; 30-&lt;60 kg, 400mg then 200mg q2w; ≥30-60 kg, 600mg then 300mg q2 weeks)</t>
  </si>
  <si>
    <t>LEO 152020 High dose po bid</t>
  </si>
  <si>
    <t xml:space="preserve">LEO 152020 Middle dose po bid </t>
  </si>
  <si>
    <t xml:space="preserve">LEO 152020 Low dose po bid </t>
  </si>
  <si>
    <t>1% drop out in CMK389 10mg/kg arm, 12% placebo, 0% CMK389 300mg. Differential dropout between arms.</t>
  </si>
  <si>
    <t>05017480</t>
  </si>
  <si>
    <t xml:space="preserve">05117060 </t>
  </si>
  <si>
    <t>Description for SMD plots</t>
  </si>
  <si>
    <t>Cyclosporine - Low Dose</t>
  </si>
  <si>
    <t>Cyclosporine - High Dose</t>
  </si>
  <si>
    <t>Efficacy and safety of upadacitinib versus dupilumab in adults and adolescents with moderate-to-severe atopic dermatitis: week 16 results of an open-label randomized efficacy assessor-blinded head-to-head phase IIIb/IV study (Level Up)</t>
  </si>
  <si>
    <t>Full text/BJD</t>
  </si>
  <si>
    <t>Topicals as rescue</t>
  </si>
  <si>
    <t>12-&lt;64 years</t>
  </si>
  <si>
    <t>Simultaneous achievement of EASI 90 and WP-NRS 0/1 at week 16</t>
  </si>
  <si>
    <t>Silverberg 2024 Level Up</t>
  </si>
  <si>
    <t>Upadacitinib_15_30</t>
  </si>
  <si>
    <t>Upadacitinib 15 mg escalating to 30 mg daily</t>
  </si>
  <si>
    <t>Upadacitinib 15 mg daily escalating to 30 mg daily if inadquate response</t>
  </si>
  <si>
    <t>Insufficient detail</t>
  </si>
  <si>
    <t>Personnel were blinded but participants were not.</t>
  </si>
  <si>
    <t>Outcome assessors blinded but participants were not and there are important PROs</t>
  </si>
  <si>
    <t>Low dropout, similar between arms</t>
  </si>
  <si>
    <t>18-&lt;75 years</t>
  </si>
  <si>
    <t>24 weeks; 52 weeks</t>
  </si>
  <si>
    <t>Amlitelimab_250mg_q4w</t>
  </si>
  <si>
    <t>Amlitelimab 250 q4w</t>
  </si>
  <si>
    <t>Amlitelimab 125 q4w</t>
  </si>
  <si>
    <t>Amlitelimab_125mg_q4w</t>
  </si>
  <si>
    <t>Amlitelimab_625mg_q4w</t>
  </si>
  <si>
    <t>Amlitelimab 62.5 q4w</t>
  </si>
  <si>
    <t>Amlitelimab 250mg q4w</t>
  </si>
  <si>
    <t>Amlitelimab 125mg q4w</t>
  </si>
  <si>
    <t>Amlitelimab 62.5mg  q4w</t>
  </si>
  <si>
    <t>Amlitelimab 500 mg then 250 mg  q4w</t>
  </si>
  <si>
    <t>Bogacz-Piaseczynska 2024</t>
  </si>
  <si>
    <t>Dupilumab and House Dust Mite Immunotherapy in Patients with Atopic Dermatitis: A Preliminary Study</t>
  </si>
  <si>
    <t>Multi-centre</t>
  </si>
  <si>
    <t>Full text/Vaccines</t>
  </si>
  <si>
    <t>39438067</t>
  </si>
  <si>
    <t>05601882</t>
  </si>
  <si>
    <t>05131477</t>
  </si>
  <si>
    <t>06509243</t>
  </si>
  <si>
    <t>39340076</t>
  </si>
  <si>
    <t>18-45</t>
  </si>
  <si>
    <t>IGA 4, EASI ≥20, BSA≥10%</t>
  </si>
  <si>
    <t>H/P</t>
  </si>
  <si>
    <t>EASI, BSA, IGA at 12 months</t>
  </si>
  <si>
    <t>Sublingual dust mite allergen immunotherapy</t>
  </si>
  <si>
    <t>SLIT_HDM</t>
  </si>
  <si>
    <t>Dupilumab_SLIT_HDM</t>
  </si>
  <si>
    <t>Dupilumab + sublingual dust mite allergen immunotherapy</t>
  </si>
  <si>
    <t>Cyclosporine_35mg_OD</t>
  </si>
  <si>
    <t>Cyclosporine 3.5mg/kg OD</t>
  </si>
  <si>
    <t>Insufficient detail; "computer-generated numbers"</t>
  </si>
  <si>
    <t>"All treatments were blinded, and patients received, apart from the randomly assigned drug, depending on the arm, a blinded placebo of SLIT-HDM, a blinded placebo of dupilumab, and/or a blinded placebo of cyclosporine. An independent study coordinator performed the blinding and randomisation."</t>
  </si>
  <si>
    <t>Actual arm-level mean change in EASI not reported.</t>
  </si>
  <si>
    <t>Methods are vague; e.g., "The number of patients included was based on a power calculation that took into account the expected effect size, the standard deviation of the results, and an ordinal variable for a comparative study of all study arms according to an appropriate formula."</t>
  </si>
  <si>
    <t>NCT05149313 (Advantage)</t>
  </si>
  <si>
    <t>A Study of Lebrikizumab in Combination With Topical Corticosteroids in Patients With Atopic Dermatitis (AD) That Are Not Adequately Controlled With or Are Non-eligible for Cyclosporine (ADvantage)</t>
  </si>
  <si>
    <t xml:space="preserve"> Mid- or low-potency TCS</t>
  </si>
  <si>
    <t>Allocation through an interactive web response system.</t>
  </si>
  <si>
    <t>Randomization code generated by authorized personnel.</t>
  </si>
  <si>
    <t>Double blind; Protocol: "The placebo solution is identical in appearance and volume to the active solution except that it does not contain lebrikizumab."</t>
  </si>
  <si>
    <t>Adults</t>
  </si>
  <si>
    <t>Orismilast_20mg_BID</t>
  </si>
  <si>
    <t>Orismilast_30mg_BID</t>
  </si>
  <si>
    <t>Orismilast_40mg_BID</t>
  </si>
  <si>
    <t>Orismilast 20mg PO BID</t>
  </si>
  <si>
    <t>Orismilast 30mg PO BID</t>
  </si>
  <si>
    <t>Orismilast 40mg PO BID</t>
  </si>
  <si>
    <t>05375929</t>
  </si>
  <si>
    <t>05149313</t>
  </si>
  <si>
    <t>05469464</t>
  </si>
  <si>
    <t>A Study to Learn About Abrocitinib Tablets in People With Atopic Dermatitis in India</t>
  </si>
  <si>
    <t>NCT05375929 (Abrocitinib in India)</t>
  </si>
  <si>
    <t>India/ Multi-centre</t>
  </si>
  <si>
    <t>At the discretion of treating physicians</t>
  </si>
  <si>
    <t>d</t>
  </si>
  <si>
    <t>Protocol: "the specific study intervention dispensed to the participant will be assigned using an IRT."</t>
  </si>
  <si>
    <t>Protocol: Centralized randomation;  "the specific study intervention dispensed to the participant will be assigned using an IRT."</t>
  </si>
  <si>
    <t>Unblinded</t>
  </si>
  <si>
    <t>12 weeks; 52 weeks</t>
  </si>
  <si>
    <t>Aes, SAEs</t>
  </si>
  <si>
    <t>Nemolizumab with concomitant topical therapy in adolescents and adults with moderate-to-severe atopic dermatitis (ARCADIA 1 and ARCADIA 2): results from two replicate, double-blind, randomised controlled phase 3 trials</t>
  </si>
  <si>
    <t>Silverberg 2024 ARCADIA 1</t>
  </si>
  <si>
    <t>Silverberg 2024 ARCADIA 2</t>
  </si>
  <si>
    <t>Full text/Lancet</t>
  </si>
  <si>
    <t>39067461</t>
  </si>
  <si>
    <t>03985943</t>
  </si>
  <si>
    <t>03989349</t>
  </si>
  <si>
    <t>TCS +/- TCI</t>
  </si>
  <si>
    <t>16 weeks; 48 weeks</t>
  </si>
  <si>
    <t>"Once eligibility was confirmed, participants were assigned a unique randomisation number via interactive response technology at the baseline visit. Participants were randomly assigned in a 2:1 ratio to receive treatment with either nemolizumab 30 mg (once every 4 weeks, with a 60 mg loading dose at baseline) plus TCS–TCI or placebo plus TCS–TCI. The randomisation scheme was stratified by baseline disease severity (IGA score 3 [moderate] or 4 [severe]) and pruritus severity (PP-NRS score ≥7 [severe pruritus] or &lt;7 [moderate pruritus]) with use of the interactive response technology system."</t>
  </si>
  <si>
    <t>" Study staff and participants were masked throughout the study, and study staff did not have access to the randomised treatment assignment. Study injections were administered by qualified site personnel, and a different pharmacist (or other qualified personnel) prepared the study medication. Nemolizumab and its placebo had identical appearance and packaging. "</t>
  </si>
  <si>
    <t>Low dropout and appropriate handling of missing data.</t>
  </si>
  <si>
    <t>Full text/The Journal of Clinical Pharmacology, AACI; CT.gov</t>
  </si>
  <si>
    <t>Blauvelt 2024 NCT04800315 Cendakimab</t>
  </si>
  <si>
    <t>Full text/JAMA Derm; CT.gov</t>
  </si>
  <si>
    <t>Cendakimab in Patients With Moderate to Severe Atopic Dermatitis</t>
  </si>
  <si>
    <t>39018038</t>
  </si>
  <si>
    <t>Cendakimab_360mg_q2w</t>
  </si>
  <si>
    <t>Cendakimab_720mg_q2w</t>
  </si>
  <si>
    <t>Cendakimab_720mg_qw</t>
  </si>
  <si>
    <t>Cendakimab 720mg sc qw</t>
  </si>
  <si>
    <t>Cendakimab 720mg sc q2w</t>
  </si>
  <si>
    <t>Cendakimab 360mg sc q2w</t>
  </si>
  <si>
    <t>Cendakimab 720 qw</t>
  </si>
  <si>
    <t>Cendakimab 720 q2w</t>
  </si>
  <si>
    <t>Cendakimab 360 q2w</t>
  </si>
  <si>
    <t>Soung 2024 NCT04626297 (ADopt-VA)</t>
  </si>
  <si>
    <t>The Impact of Lebrikizumab on Vaccine-Induced Immune Responses: Results from a Phase 3 Study in Adult Patients with Moderate-to-Severe Atopic Dermatitis</t>
  </si>
  <si>
    <t>Full text/Derm and Ther; CT.gov</t>
  </si>
  <si>
    <t>EASI 25.9</t>
  </si>
  <si>
    <t>EASI 30.7</t>
  </si>
  <si>
    <t>EASI 30.0</t>
  </si>
  <si>
    <t>04090229</t>
  </si>
  <si>
    <t>NCT05656911 (Zabedosertib)</t>
  </si>
  <si>
    <t>A Study to Learn How Well the Study Treatment Zabedosertib (BAY1834845) Works and How Safe it is Compared to Placebo in Adult Participants With Moderate-to-severe Atopic Dermatitis (Damask)</t>
  </si>
  <si>
    <t>Rescue</t>
  </si>
  <si>
    <t>12 weeks; 17 weeks</t>
  </si>
  <si>
    <t>EASI-75 at week 12</t>
  </si>
  <si>
    <t>Zabedosertib_120mg_BID</t>
  </si>
  <si>
    <t>Zabedosertib 120mg BID</t>
  </si>
  <si>
    <t>Protocol: "All participants will be centrally assigned to randomized study intervention using Interactive Response Technology (IRT); the use of central randomization via IRT will minimize potential bias. Before the study is initiated, the directions for the IRT will be provided to each site. :</t>
  </si>
  <si>
    <t>"Tablets containing zabedosertib or corresponding placebo are identical in appearance (size, color, shape)." "As this is a double-blind study design, both investigators and participants will be blinded to study interventions."</t>
  </si>
  <si>
    <t>25-30% dropout in a fairly small study.</t>
  </si>
  <si>
    <t>A Multi-omics Disease Signature Trial in Adult Patients With Moderate to Severe AD</t>
  </si>
  <si>
    <t>NCT05470114 (LEO 138559)</t>
  </si>
  <si>
    <t>05656911</t>
  </si>
  <si>
    <t>05470114</t>
  </si>
  <si>
    <t>Austria/single site</t>
  </si>
  <si>
    <t>Change in Gene Expression to week 4</t>
  </si>
  <si>
    <t>IGA≥3, EASI ≥12, BSA≥10%, PPNRS ≥43</t>
  </si>
  <si>
    <t>LEO138559_450mg_q2w</t>
  </si>
  <si>
    <t>LEO138559 450mg q2w</t>
  </si>
  <si>
    <t>SD</t>
  </si>
  <si>
    <t>Saline injections used to mimic the investigational project.</t>
  </si>
  <si>
    <t>Blinded; Saline injections used to mimic the investigational project.</t>
  </si>
  <si>
    <t>Computer-generated randomization schedule.</t>
  </si>
  <si>
    <t>Protocol: "This randomisation schedule randomly allocates subjects who have been found to comply with all the inclusion criteria and not to violate any of the exclusion criteria on day 1 (visit 3) in a 2:1 ratio to one of the two treatments"</t>
  </si>
  <si>
    <t>2 dropouts in investigational arm, none in the dupilumab arm.</t>
  </si>
  <si>
    <t>Very small trial.</t>
  </si>
  <si>
    <t>Weidinger 2025 STREAM-AD</t>
  </si>
  <si>
    <t>Phase 2b randomized clinical trial of amlitelimab, an anti-OX40 ligand antibody, in patients with moderate-to-severe atopic dermatitis</t>
  </si>
  <si>
    <t xml:space="preserve">Abstract/JAAD and Full text/JACI
</t>
  </si>
  <si>
    <t>% change in EASI to week 16</t>
  </si>
  <si>
    <t>"Randomization was performed by using an interactive response technology system and was stratified by disease severity and region"</t>
  </si>
  <si>
    <t>"The investigator, other staff members, and sponsor, as well as the patients, remained blinded during the study. "</t>
  </si>
  <si>
    <t>Moderate dropout but appropriate statistical handling.</t>
  </si>
  <si>
    <t>Orismilast, a phosphodiesterase 4B/D inhibitor, in moderate-to-severe atopic dermatitis: efficacy and safety from a multicentre randomized placebo-controlled phase IIb dose-ranging study (ADESOS)</t>
  </si>
  <si>
    <t>Silverberg 2025 ADESOS</t>
  </si>
  <si>
    <t>39847538</t>
  </si>
  <si>
    <t>39522654</t>
  </si>
  <si>
    <t>Change in EASI from baseline to week 16</t>
  </si>
  <si>
    <t>Topicals that can affect AD not allwed</t>
  </si>
  <si>
    <t xml:space="preserve">Abstract and Full Text/BJD; CT.gov
</t>
  </si>
  <si>
    <t>"participant randomization (using an Interactive Web Response System) was stratified by study site"</t>
  </si>
  <si>
    <t>"All participants, investigators, care providers and outcomes assessors were masked to treatment assignment."</t>
  </si>
  <si>
    <t>High dropout, different between active and placebo arms, mostly due to Aes</t>
  </si>
  <si>
    <t>Katoh 2024 (ADhere-J)</t>
  </si>
  <si>
    <t>Efficacy and safety of lebrikizumab combined with topical corticosteroids in Japanese patients with moderate-to-severe atopic dermatitis: a phase 3, double-blind, placebo-controlled, randomized clinical trial (ADhere-J)</t>
  </si>
  <si>
    <t>Full text/Current Medical Research and Opinion;CT.gov</t>
  </si>
  <si>
    <t>Copyright © 2023 EczemaTherapies [www.eczematherapies.com].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</si>
</sst>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name val="Calibri"/>
      <family val="2"/>
      <scheme val="minor"/>
    </font>
    <font>
      <b/>
      <sz val="11"/>
      <name val="Calibri"/>
      <family val="2"/>
      <scheme val="minor"/>
    </font>
    <font>
      <sz val="8"/>
      <name val="Calibri"/>
      <family val="2"/>
      <scheme val="minor"/>
    </font>
    <font>
      <b/>
      <sz val="11"/>
      <color theme="1"/>
      <name val="Calibri"/>
      <family val="2"/>
      <scheme val="minor"/>
    </font>
    <font>
      <sz val="11"/>
      <color indexed="8"/>
      <name val="Calibri"/>
      <family val="2"/>
      <charset val="1"/>
    </font>
    <font>
      <sz val="11"/>
      <color rgb="FF006100"/>
      <name val="Calibri"/>
      <family val="2"/>
      <scheme val="minor"/>
    </font>
    <font>
      <sz val="11"/>
      <color rgb="FF9C0006"/>
      <name val="Calibri"/>
      <family val="2"/>
      <scheme val="minor"/>
    </font>
    <font>
      <sz val="11"/>
      <color rgb="FF9C6500"/>
      <name val="Calibri"/>
      <family val="2"/>
      <scheme val="minor"/>
    </font>
    <font>
      <sz val="11"/>
      <color theme="1"/>
      <name val="Calibri"/>
      <family val="2"/>
      <scheme val="minor"/>
    </font>
    <font>
      <b/>
      <sz val="12"/>
      <color theme="1"/>
      <name val="Calibri"/>
      <family val="2"/>
      <scheme val="minor"/>
    </font>
    <font>
      <b/>
      <sz val="11"/>
      <color theme="1"/>
      <name val="Arial"/>
      <family val="2"/>
    </font>
    <font>
      <sz val="11"/>
      <name val="Arial"/>
      <family val="2"/>
    </font>
    <font>
      <sz val="11"/>
      <color rgb="FF006100"/>
      <name val="Arial"/>
      <family val="2"/>
    </font>
    <font>
      <sz val="11"/>
      <color rgb="FF9C6500"/>
      <name val="Arial"/>
      <family val="2"/>
    </font>
    <font>
      <sz val="11"/>
      <color rgb="FF9C0006"/>
      <name val="Arial"/>
      <family val="2"/>
    </font>
    <font>
      <vertAlign val="superscript"/>
      <sz val="11"/>
      <name val="Arial"/>
      <family val="2"/>
    </font>
    <font>
      <sz val="8"/>
      <name val="Arial"/>
      <family val="2"/>
    </font>
    <font>
      <sz val="11"/>
      <color theme="1"/>
      <name val="Arial"/>
      <family val="2"/>
    </font>
    <font>
      <sz val="11"/>
      <color rgb="FFFF0000"/>
      <name val="Calibri"/>
      <family val="2"/>
      <scheme val="minor"/>
    </font>
    <font>
      <sz val="9"/>
      <color indexed="81"/>
      <name val="Tahoma"/>
      <family val="2"/>
    </font>
    <font>
      <b/>
      <sz val="9"/>
      <color indexed="81"/>
      <name val="Tahoma"/>
      <family val="2"/>
    </font>
    <font>
      <sz val="11"/>
      <name val="Calibri"/>
      <family val="2"/>
    </font>
  </fonts>
  <fills count="2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theme="0" tint="-4.9989318521683403E-2"/>
        <bgColor indexed="64"/>
      </patternFill>
    </fill>
    <fill>
      <patternFill patternType="solid">
        <fgColor rgb="FFFFC7CE"/>
      </patternFill>
    </fill>
    <fill>
      <patternFill patternType="solid">
        <fgColor rgb="FFFFEB9C"/>
      </patternFill>
    </fill>
    <fill>
      <patternFill patternType="solid">
        <fgColor rgb="FFC6EFCE"/>
        <bgColor indexed="64"/>
      </patternFill>
    </fill>
    <fill>
      <patternFill patternType="solid">
        <fgColor rgb="FFFFEB9C"/>
        <bgColor indexed="64"/>
      </patternFill>
    </fill>
    <fill>
      <patternFill patternType="solid">
        <fgColor rgb="FFFFC7CE"/>
        <bgColor indexed="64"/>
      </patternFill>
    </fill>
    <fill>
      <patternFill patternType="solid">
        <fgColor rgb="FF92D05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6" tint="-0.249977111117893"/>
        <bgColor indexed="64"/>
      </patternFill>
    </fill>
    <fill>
      <patternFill patternType="solid">
        <fgColor theme="4" tint="0.59999389629810485"/>
        <bgColor indexed="64"/>
      </patternFill>
    </fill>
    <fill>
      <patternFill patternType="solid">
        <fgColor theme="7" tint="0.59999389629810485"/>
        <bgColor indexed="64"/>
      </patternFill>
    </fill>
  </fills>
  <borders count="40">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8"/>
      </left>
      <right/>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7">
    <xf numFmtId="0" fontId="0" fillId="0" borderId="0"/>
    <xf numFmtId="0" fontId="11" fillId="0" borderId="0"/>
    <xf numFmtId="0" fontId="12" fillId="4" borderId="0" applyNumberFormat="0" applyBorder="0" applyAlignment="0" applyProtection="0"/>
    <xf numFmtId="0" fontId="13" fillId="6" borderId="0" applyNumberFormat="0" applyBorder="0" applyAlignment="0" applyProtection="0"/>
    <xf numFmtId="0" fontId="14" fillId="7" borderId="0" applyNumberFormat="0" applyBorder="0" applyAlignment="0" applyProtection="0"/>
    <xf numFmtId="0" fontId="6" fillId="0" borderId="0"/>
    <xf numFmtId="0" fontId="1" fillId="0" borderId="0"/>
  </cellStyleXfs>
  <cellXfs count="508">
    <xf numFmtId="0" fontId="0" fillId="0" borderId="0" xfId="0"/>
    <xf numFmtId="0" fontId="9" fillId="0" borderId="0" xfId="0" applyFont="1" applyAlignment="1">
      <alignment horizontal="left" vertical="center"/>
    </xf>
    <xf numFmtId="0" fontId="0" fillId="0" borderId="0" xfId="0" applyAlignment="1">
      <alignment wrapText="1"/>
    </xf>
    <xf numFmtId="0" fontId="10" fillId="2" borderId="10" xfId="0" applyFont="1" applyFill="1" applyBorder="1" applyAlignment="1">
      <alignment horizontal="center" wrapText="1"/>
    </xf>
    <xf numFmtId="0" fontId="10" fillId="2" borderId="26" xfId="0" applyFont="1" applyFill="1" applyBorder="1" applyAlignment="1">
      <alignment horizontal="center" wrapText="1"/>
    </xf>
    <xf numFmtId="0" fontId="10" fillId="2" borderId="16" xfId="0" applyFont="1" applyFill="1" applyBorder="1" applyAlignment="1">
      <alignment wrapText="1"/>
    </xf>
    <xf numFmtId="0" fontId="0" fillId="0" borderId="14" xfId="0" applyBorder="1" applyAlignment="1">
      <alignment wrapText="1"/>
    </xf>
    <xf numFmtId="0" fontId="0" fillId="0" borderId="20" xfId="0" applyBorder="1" applyAlignment="1">
      <alignment wrapText="1"/>
    </xf>
    <xf numFmtId="0" fontId="0" fillId="2" borderId="0" xfId="0" applyFill="1"/>
    <xf numFmtId="0" fontId="12" fillId="4" borderId="0" xfId="2" applyAlignment="1">
      <alignment wrapText="1"/>
    </xf>
    <xf numFmtId="0" fontId="12" fillId="4" borderId="29" xfId="2" applyBorder="1" applyAlignment="1">
      <alignment wrapText="1"/>
    </xf>
    <xf numFmtId="0" fontId="0" fillId="0" borderId="29" xfId="0" applyBorder="1" applyAlignment="1">
      <alignment wrapText="1"/>
    </xf>
    <xf numFmtId="0" fontId="12" fillId="4" borderId="0" xfId="2" applyBorder="1" applyAlignment="1">
      <alignment wrapText="1"/>
    </xf>
    <xf numFmtId="0" fontId="7" fillId="0" borderId="0" xfId="0" applyFont="1" applyAlignment="1">
      <alignment horizontal="left" vertical="center"/>
    </xf>
    <xf numFmtId="0" fontId="0" fillId="0" borderId="30" xfId="0" applyBorder="1" applyAlignment="1">
      <alignment wrapText="1"/>
    </xf>
    <xf numFmtId="0" fontId="0" fillId="0" borderId="30" xfId="0" applyBorder="1" applyAlignment="1">
      <alignment horizontal="left" wrapText="1"/>
    </xf>
    <xf numFmtId="49" fontId="12" fillId="4" borderId="30" xfId="2" applyNumberFormat="1" applyBorder="1" applyAlignment="1">
      <alignment wrapText="1"/>
    </xf>
    <xf numFmtId="0" fontId="12" fillId="4" borderId="30" xfId="2" applyBorder="1" applyAlignment="1">
      <alignment horizontal="left" wrapText="1"/>
    </xf>
    <xf numFmtId="0" fontId="0" fillId="0" borderId="29" xfId="0" applyBorder="1" applyAlignment="1">
      <alignment horizontal="left" wrapText="1"/>
    </xf>
    <xf numFmtId="0" fontId="0" fillId="5" borderId="30" xfId="0" applyFill="1" applyBorder="1" applyAlignment="1">
      <alignment wrapText="1"/>
    </xf>
    <xf numFmtId="0" fontId="0" fillId="5" borderId="0" xfId="0" applyFill="1" applyAlignment="1">
      <alignment wrapText="1"/>
    </xf>
    <xf numFmtId="0" fontId="12" fillId="4" borderId="29" xfId="2" applyBorder="1" applyAlignment="1">
      <alignment horizontal="left" wrapText="1"/>
    </xf>
    <xf numFmtId="0" fontId="7" fillId="0" borderId="29" xfId="0" applyFont="1" applyBorder="1" applyAlignment="1">
      <alignment horizontal="left" wrapText="1"/>
    </xf>
    <xf numFmtId="0" fontId="7" fillId="0" borderId="28" xfId="0" applyFont="1" applyBorder="1" applyAlignment="1">
      <alignment wrapText="1"/>
    </xf>
    <xf numFmtId="0" fontId="7" fillId="0" borderId="29" xfId="0" applyFont="1" applyBorder="1" applyAlignment="1">
      <alignment wrapText="1"/>
    </xf>
    <xf numFmtId="0" fontId="7" fillId="0" borderId="30" xfId="0" applyFont="1" applyBorder="1" applyAlignment="1">
      <alignment wrapText="1"/>
    </xf>
    <xf numFmtId="0" fontId="7" fillId="0" borderId="0" xfId="0" applyFont="1" applyAlignment="1">
      <alignment wrapText="1"/>
    </xf>
    <xf numFmtId="0" fontId="14" fillId="7" borderId="29" xfId="4" applyBorder="1" applyAlignment="1">
      <alignment wrapText="1"/>
    </xf>
    <xf numFmtId="0" fontId="14" fillId="7" borderId="30" xfId="4" applyBorder="1" applyAlignment="1">
      <alignment horizontal="left" wrapText="1"/>
    </xf>
    <xf numFmtId="0" fontId="13" fillId="6" borderId="29" xfId="3" applyBorder="1" applyAlignment="1">
      <alignment wrapText="1"/>
    </xf>
    <xf numFmtId="0" fontId="13" fillId="6" borderId="30" xfId="3" applyBorder="1" applyAlignment="1">
      <alignment wrapText="1"/>
    </xf>
    <xf numFmtId="0" fontId="14" fillId="7" borderId="30" xfId="4" applyBorder="1" applyAlignment="1">
      <alignment wrapText="1"/>
    </xf>
    <xf numFmtId="0" fontId="14" fillId="7" borderId="29" xfId="4" applyBorder="1" applyAlignment="1">
      <alignment horizontal="left" wrapText="1"/>
    </xf>
    <xf numFmtId="0" fontId="13" fillId="6" borderId="30" xfId="3" applyBorder="1" applyAlignment="1">
      <alignment horizontal="left" wrapText="1"/>
    </xf>
    <xf numFmtId="0" fontId="14" fillId="7" borderId="0" xfId="4" applyAlignment="1">
      <alignment wrapText="1"/>
    </xf>
    <xf numFmtId="0" fontId="14" fillId="7" borderId="0" xfId="4" applyBorder="1" applyAlignment="1">
      <alignment wrapText="1"/>
    </xf>
    <xf numFmtId="0" fontId="14" fillId="8" borderId="30" xfId="4" applyFill="1" applyBorder="1" applyAlignment="1">
      <alignment wrapText="1"/>
    </xf>
    <xf numFmtId="0" fontId="12" fillId="8" borderId="30" xfId="0" applyFont="1" applyFill="1" applyBorder="1" applyAlignment="1">
      <alignment wrapText="1"/>
    </xf>
    <xf numFmtId="0" fontId="12" fillId="8" borderId="20" xfId="0" applyFont="1" applyFill="1" applyBorder="1" applyAlignment="1">
      <alignment wrapText="1"/>
    </xf>
    <xf numFmtId="0" fontId="12" fillId="8" borderId="30" xfId="4" applyFont="1" applyFill="1" applyBorder="1" applyAlignment="1">
      <alignment wrapText="1"/>
    </xf>
    <xf numFmtId="0" fontId="14" fillId="9" borderId="29" xfId="0" applyFont="1" applyFill="1" applyBorder="1" applyAlignment="1">
      <alignment wrapText="1"/>
    </xf>
    <xf numFmtId="0" fontId="14" fillId="9" borderId="30" xfId="0" applyFont="1" applyFill="1" applyBorder="1" applyAlignment="1">
      <alignment horizontal="left" wrapText="1"/>
    </xf>
    <xf numFmtId="0" fontId="13" fillId="10" borderId="30" xfId="3" applyFill="1" applyBorder="1" applyAlignment="1">
      <alignment wrapText="1"/>
    </xf>
    <xf numFmtId="0" fontId="13" fillId="10" borderId="20" xfId="3" applyFill="1" applyBorder="1" applyAlignment="1">
      <alignment wrapText="1"/>
    </xf>
    <xf numFmtId="0" fontId="12" fillId="8" borderId="0" xfId="2" applyFill="1" applyBorder="1" applyAlignment="1">
      <alignment wrapText="1"/>
    </xf>
    <xf numFmtId="0" fontId="14" fillId="9" borderId="20" xfId="0" applyFont="1" applyFill="1" applyBorder="1" applyAlignment="1">
      <alignment wrapText="1"/>
    </xf>
    <xf numFmtId="0" fontId="7" fillId="0" borderId="24" xfId="2" applyFont="1" applyFill="1" applyBorder="1" applyAlignment="1">
      <alignment horizontal="left" vertical="center" wrapText="1"/>
    </xf>
    <xf numFmtId="0" fontId="10" fillId="2" borderId="16" xfId="0" applyFont="1" applyFill="1" applyBorder="1" applyAlignment="1">
      <alignment horizontal="center" wrapText="1"/>
    </xf>
    <xf numFmtId="0" fontId="13" fillId="6" borderId="0" xfId="3" applyBorder="1" applyAlignment="1">
      <alignment wrapText="1"/>
    </xf>
    <xf numFmtId="0" fontId="10" fillId="0" borderId="0" xfId="0" applyFont="1" applyAlignment="1">
      <alignment wrapText="1"/>
    </xf>
    <xf numFmtId="0" fontId="7" fillId="0" borderId="0" xfId="0" applyFont="1" applyAlignment="1">
      <alignment horizontal="left" vertical="center" wrapText="1"/>
    </xf>
    <xf numFmtId="0" fontId="7" fillId="0" borderId="4" xfId="0" applyFont="1" applyBorder="1" applyAlignment="1">
      <alignment horizontal="left" vertical="center"/>
    </xf>
    <xf numFmtId="0" fontId="7" fillId="0" borderId="28" xfId="2" applyFont="1" applyFill="1" applyBorder="1" applyAlignment="1">
      <alignment wrapText="1"/>
    </xf>
    <xf numFmtId="0" fontId="12" fillId="4" borderId="30" xfId="2" applyBorder="1" applyAlignment="1">
      <alignment wrapText="1"/>
    </xf>
    <xf numFmtId="0" fontId="8" fillId="0" borderId="6" xfId="0" applyFont="1" applyBorder="1" applyAlignment="1">
      <alignment wrapText="1"/>
    </xf>
    <xf numFmtId="0" fontId="10" fillId="2" borderId="18" xfId="0" applyFont="1" applyFill="1" applyBorder="1" applyAlignment="1">
      <alignment wrapText="1"/>
    </xf>
    <xf numFmtId="0" fontId="8" fillId="0" borderId="9" xfId="0" applyFont="1" applyBorder="1" applyAlignment="1">
      <alignment wrapText="1"/>
    </xf>
    <xf numFmtId="0" fontId="14" fillId="7" borderId="14" xfId="4" applyBorder="1" applyAlignment="1">
      <alignment wrapText="1"/>
    </xf>
    <xf numFmtId="0" fontId="14" fillId="7" borderId="20" xfId="4" applyBorder="1" applyAlignment="1">
      <alignment wrapText="1"/>
    </xf>
    <xf numFmtId="0" fontId="12" fillId="4" borderId="14" xfId="2" applyBorder="1" applyAlignment="1">
      <alignment wrapText="1"/>
    </xf>
    <xf numFmtId="0" fontId="13" fillId="6" borderId="14" xfId="3" applyBorder="1" applyAlignment="1">
      <alignment wrapText="1"/>
    </xf>
    <xf numFmtId="0" fontId="13" fillId="6" borderId="29" xfId="3" applyBorder="1" applyAlignment="1">
      <alignment horizontal="left" wrapText="1"/>
    </xf>
    <xf numFmtId="0" fontId="12" fillId="4" borderId="20" xfId="2" applyBorder="1" applyAlignment="1">
      <alignment wrapText="1"/>
    </xf>
    <xf numFmtId="0" fontId="7" fillId="0" borderId="13" xfId="0" applyFont="1" applyBorder="1" applyAlignment="1">
      <alignment wrapText="1"/>
    </xf>
    <xf numFmtId="0" fontId="13" fillId="6" borderId="20" xfId="3" applyBorder="1" applyAlignment="1">
      <alignment wrapText="1"/>
    </xf>
    <xf numFmtId="0" fontId="13" fillId="10" borderId="0" xfId="3" applyFill="1" applyBorder="1" applyAlignment="1">
      <alignment wrapText="1"/>
    </xf>
    <xf numFmtId="0" fontId="14" fillId="8" borderId="0" xfId="4" applyFill="1" applyBorder="1" applyAlignment="1">
      <alignment wrapText="1"/>
    </xf>
    <xf numFmtId="0" fontId="12" fillId="8" borderId="14" xfId="2" applyFill="1" applyBorder="1" applyAlignment="1">
      <alignment wrapText="1"/>
    </xf>
    <xf numFmtId="0" fontId="12" fillId="8" borderId="20" xfId="2" applyFill="1" applyBorder="1" applyAlignment="1">
      <alignment wrapText="1"/>
    </xf>
    <xf numFmtId="0" fontId="12" fillId="8" borderId="30" xfId="2" applyFill="1" applyBorder="1" applyAlignment="1">
      <alignment wrapText="1"/>
    </xf>
    <xf numFmtId="0" fontId="13" fillId="10" borderId="14" xfId="3" applyFill="1" applyBorder="1" applyAlignment="1">
      <alignment wrapText="1"/>
    </xf>
    <xf numFmtId="0" fontId="12" fillId="9" borderId="0" xfId="2" applyFill="1" applyBorder="1" applyAlignment="1">
      <alignment wrapText="1"/>
    </xf>
    <xf numFmtId="0" fontId="12" fillId="9" borderId="30" xfId="2" applyFill="1" applyBorder="1" applyAlignment="1">
      <alignment wrapText="1"/>
    </xf>
    <xf numFmtId="0" fontId="14" fillId="9" borderId="14" xfId="0" applyFont="1" applyFill="1" applyBorder="1" applyAlignment="1">
      <alignment wrapText="1"/>
    </xf>
    <xf numFmtId="0" fontId="0" fillId="0" borderId="28" xfId="0" applyBorder="1" applyAlignment="1">
      <alignment wrapText="1"/>
    </xf>
    <xf numFmtId="0" fontId="12" fillId="4" borderId="29" xfId="2" applyBorder="1"/>
    <xf numFmtId="0" fontId="12" fillId="4" borderId="0" xfId="2"/>
    <xf numFmtId="0" fontId="7" fillId="0" borderId="21" xfId="0" applyFont="1" applyBorder="1" applyAlignment="1">
      <alignment horizontal="left" vertical="center" wrapText="1"/>
    </xf>
    <xf numFmtId="0" fontId="7" fillId="0" borderId="17" xfId="0" applyFont="1" applyBorder="1" applyAlignment="1">
      <alignment horizontal="left" vertical="center" wrapText="1"/>
    </xf>
    <xf numFmtId="0" fontId="0" fillId="0" borderId="17" xfId="2" applyFont="1" applyFill="1" applyBorder="1" applyAlignment="1">
      <alignment horizontal="left" vertical="center" wrapText="1"/>
    </xf>
    <xf numFmtId="0" fontId="7" fillId="0" borderId="25" xfId="0" applyFont="1" applyBorder="1" applyAlignment="1">
      <alignment horizontal="left" vertical="center" wrapText="1"/>
    </xf>
    <xf numFmtId="0" fontId="12" fillId="0" borderId="0" xfId="2" applyFill="1" applyBorder="1" applyAlignment="1">
      <alignment horizontal="left" vertical="center"/>
    </xf>
    <xf numFmtId="0" fontId="7" fillId="0" borderId="33" xfId="0" applyFont="1" applyBorder="1" applyAlignment="1">
      <alignment horizontal="left" vertical="center" wrapText="1"/>
    </xf>
    <xf numFmtId="0" fontId="7" fillId="0" borderId="33" xfId="0" applyFont="1" applyBorder="1" applyAlignment="1">
      <alignment horizontal="left" vertical="center"/>
    </xf>
    <xf numFmtId="0" fontId="7" fillId="0" borderId="33" xfId="2" applyFont="1" applyFill="1" applyBorder="1" applyAlignment="1">
      <alignment horizontal="left" vertical="center" wrapText="1"/>
    </xf>
    <xf numFmtId="0" fontId="7" fillId="0" borderId="33" xfId="2" applyFont="1" applyFill="1" applyBorder="1" applyAlignment="1">
      <alignment horizontal="left" vertical="center"/>
    </xf>
    <xf numFmtId="0" fontId="7" fillId="0" borderId="35" xfId="0" applyFont="1" applyBorder="1" applyAlignment="1">
      <alignment horizontal="left" vertical="center"/>
    </xf>
    <xf numFmtId="0" fontId="0" fillId="0" borderId="21" xfId="2" applyFont="1" applyFill="1" applyBorder="1" applyAlignment="1">
      <alignment horizontal="left" vertical="center"/>
    </xf>
    <xf numFmtId="0" fontId="7" fillId="0" borderId="24" xfId="0" applyFont="1" applyBorder="1" applyAlignment="1">
      <alignment horizontal="left" vertical="center" wrapText="1"/>
    </xf>
    <xf numFmtId="0" fontId="0" fillId="0" borderId="17" xfId="2" applyFont="1" applyFill="1" applyBorder="1" applyAlignment="1">
      <alignment horizontal="left" vertical="center"/>
    </xf>
    <xf numFmtId="0" fontId="0" fillId="0" borderId="21" xfId="2" applyFont="1" applyFill="1" applyBorder="1" applyAlignment="1">
      <alignment horizontal="left" vertical="center" wrapText="1"/>
    </xf>
    <xf numFmtId="0" fontId="0" fillId="0" borderId="34" xfId="2" applyFont="1" applyFill="1" applyBorder="1" applyAlignment="1">
      <alignment horizontal="left" vertical="center" wrapText="1"/>
    </xf>
    <xf numFmtId="0" fontId="7" fillId="0" borderId="25" xfId="0" applyFont="1" applyBorder="1" applyAlignment="1">
      <alignment horizontal="left" vertical="center"/>
    </xf>
    <xf numFmtId="0" fontId="7" fillId="0" borderId="25" xfId="2" applyFont="1" applyFill="1" applyBorder="1" applyAlignment="1">
      <alignment horizontal="left" vertical="center" wrapText="1"/>
    </xf>
    <xf numFmtId="0" fontId="7" fillId="0" borderId="24" xfId="2" applyFont="1" applyFill="1" applyBorder="1" applyAlignment="1">
      <alignment horizontal="left" vertical="center"/>
    </xf>
    <xf numFmtId="0" fontId="0" fillId="0" borderId="34" xfId="2" applyFont="1" applyFill="1" applyBorder="1" applyAlignment="1">
      <alignment horizontal="left" vertical="center"/>
    </xf>
    <xf numFmtId="0" fontId="7" fillId="0" borderId="25" xfId="2" applyFont="1" applyFill="1" applyBorder="1" applyAlignment="1">
      <alignment horizontal="left" vertical="center"/>
    </xf>
    <xf numFmtId="0" fontId="7" fillId="0" borderId="21" xfId="2" applyFont="1" applyFill="1" applyBorder="1" applyAlignment="1">
      <alignment horizontal="left" vertical="center" wrapText="1"/>
    </xf>
    <xf numFmtId="0" fontId="7" fillId="0" borderId="34" xfId="2" applyFont="1" applyFill="1" applyBorder="1" applyAlignment="1">
      <alignment horizontal="left" vertical="center" wrapText="1"/>
    </xf>
    <xf numFmtId="0" fontId="7" fillId="0" borderId="17" xfId="2" applyFont="1" applyFill="1" applyBorder="1" applyAlignment="1">
      <alignment horizontal="left" vertical="center" wrapText="1"/>
    </xf>
    <xf numFmtId="0" fontId="0" fillId="0" borderId="21" xfId="0" applyBorder="1" applyAlignment="1">
      <alignment horizontal="left" vertical="center"/>
    </xf>
    <xf numFmtId="0" fontId="0" fillId="0" borderId="17" xfId="0" applyBorder="1" applyAlignment="1">
      <alignment horizontal="left" vertical="center"/>
    </xf>
    <xf numFmtId="0" fontId="7" fillId="0" borderId="34" xfId="0" applyFont="1" applyBorder="1" applyAlignment="1">
      <alignment horizontal="left" vertical="center" wrapText="1"/>
    </xf>
    <xf numFmtId="0" fontId="7" fillId="0" borderId="24" xfId="0" applyFont="1" applyBorder="1" applyAlignment="1">
      <alignment horizontal="left" vertical="center"/>
    </xf>
    <xf numFmtId="0" fontId="0" fillId="0" borderId="34" xfId="0" applyBorder="1" applyAlignment="1">
      <alignment horizontal="left" vertical="center"/>
    </xf>
    <xf numFmtId="0" fontId="7" fillId="0" borderId="35" xfId="0" applyFont="1" applyBorder="1" applyAlignment="1">
      <alignment horizontal="left" wrapText="1"/>
    </xf>
    <xf numFmtId="0" fontId="7" fillId="0" borderId="33" xfId="0" applyFont="1" applyBorder="1" applyAlignment="1">
      <alignment horizontal="left" wrapText="1"/>
    </xf>
    <xf numFmtId="0" fontId="0" fillId="0" borderId="33" xfId="0" applyBorder="1" applyAlignment="1">
      <alignment wrapText="1"/>
    </xf>
    <xf numFmtId="0" fontId="10" fillId="0" borderId="0" xfId="0" applyFont="1"/>
    <xf numFmtId="0" fontId="6" fillId="0" borderId="0" xfId="5"/>
    <xf numFmtId="0" fontId="0" fillId="0" borderId="0" xfId="0" applyAlignment="1">
      <alignment horizontal="left"/>
    </xf>
    <xf numFmtId="0" fontId="0" fillId="0" borderId="0" xfId="0" applyAlignment="1">
      <alignment horizontal="right"/>
    </xf>
    <xf numFmtId="0" fontId="10" fillId="0" borderId="16" xfId="0" applyFont="1" applyBorder="1"/>
    <xf numFmtId="0" fontId="10" fillId="0" borderId="16" xfId="0" applyFont="1" applyBorder="1" applyAlignment="1">
      <alignment horizontal="right"/>
    </xf>
    <xf numFmtId="0" fontId="16" fillId="0" borderId="16" xfId="5" applyFont="1" applyBorder="1"/>
    <xf numFmtId="0" fontId="17" fillId="0" borderId="0" xfId="0" applyFont="1"/>
    <xf numFmtId="0" fontId="18" fillId="0" borderId="0" xfId="0" applyFont="1" applyAlignment="1">
      <alignment horizontal="left" vertical="center"/>
    </xf>
    <xf numFmtId="0" fontId="18" fillId="0" borderId="6" xfId="2" applyFont="1" applyFill="1" applyBorder="1" applyAlignment="1">
      <alignment horizontal="left" vertical="center" wrapText="1"/>
    </xf>
    <xf numFmtId="0" fontId="18" fillId="0" borderId="6" xfId="2" applyFont="1" applyFill="1" applyBorder="1" applyAlignment="1">
      <alignment horizontal="center" vertical="center" wrapText="1"/>
    </xf>
    <xf numFmtId="0" fontId="18" fillId="0" borderId="21" xfId="2" applyFont="1" applyFill="1" applyBorder="1" applyAlignment="1">
      <alignment horizontal="left" vertical="center" wrapText="1"/>
    </xf>
    <xf numFmtId="0" fontId="18" fillId="0" borderId="22" xfId="2" applyFont="1" applyFill="1" applyBorder="1" applyAlignment="1">
      <alignment horizontal="center" vertical="center" wrapText="1"/>
    </xf>
    <xf numFmtId="0" fontId="18" fillId="0" borderId="6" xfId="0" applyFont="1" applyBorder="1" applyAlignment="1">
      <alignment horizontal="center" vertical="center"/>
    </xf>
    <xf numFmtId="0" fontId="18" fillId="0" borderId="30" xfId="2" applyFont="1" applyFill="1" applyBorder="1" applyAlignment="1">
      <alignment horizontal="center" vertical="center"/>
    </xf>
    <xf numFmtId="0" fontId="19" fillId="4" borderId="29" xfId="2" applyFont="1" applyBorder="1" applyAlignment="1">
      <alignment wrapText="1"/>
    </xf>
    <xf numFmtId="0" fontId="18" fillId="3" borderId="0" xfId="0" applyFont="1" applyFill="1" applyAlignment="1">
      <alignment horizontal="left" vertical="center"/>
    </xf>
    <xf numFmtId="0" fontId="18" fillId="0" borderId="6" xfId="0" applyFont="1" applyBorder="1" applyAlignment="1">
      <alignment horizontal="left" vertical="center" wrapText="1"/>
    </xf>
    <xf numFmtId="0" fontId="18" fillId="0" borderId="6" xfId="0" applyFont="1" applyBorder="1" applyAlignment="1">
      <alignment horizontal="center" vertical="center" wrapText="1"/>
    </xf>
    <xf numFmtId="0" fontId="18" fillId="0" borderId="21" xfId="0" applyFont="1" applyBorder="1" applyAlignment="1">
      <alignment horizontal="left" vertical="center" wrapText="1"/>
    </xf>
    <xf numFmtId="0" fontId="18" fillId="0" borderId="22"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8" xfId="2" applyFont="1" applyFill="1" applyBorder="1" applyAlignment="1">
      <alignment horizontal="center" vertical="center"/>
    </xf>
    <xf numFmtId="0" fontId="20" fillId="7" borderId="29" xfId="4" applyFont="1" applyBorder="1" applyAlignment="1">
      <alignment wrapText="1"/>
    </xf>
    <xf numFmtId="0" fontId="21" fillId="6" borderId="29" xfId="3" applyFont="1" applyBorder="1" applyAlignment="1">
      <alignment wrapText="1"/>
    </xf>
    <xf numFmtId="0" fontId="18" fillId="0" borderId="7" xfId="0" applyFont="1" applyBorder="1" applyAlignment="1">
      <alignment horizontal="left" vertical="center" wrapText="1"/>
    </xf>
    <xf numFmtId="0" fontId="18" fillId="0" borderId="11" xfId="2" applyFont="1" applyFill="1" applyBorder="1" applyAlignment="1">
      <alignment horizontal="left" vertical="center" wrapText="1"/>
    </xf>
    <xf numFmtId="0" fontId="18" fillId="0" borderId="2" xfId="2" applyFont="1" applyFill="1" applyBorder="1" applyAlignment="1">
      <alignment horizontal="left" vertical="center"/>
    </xf>
    <xf numFmtId="0" fontId="18" fillId="0" borderId="12" xfId="2" applyFont="1" applyFill="1" applyBorder="1" applyAlignment="1">
      <alignment horizontal="center" vertical="center"/>
    </xf>
    <xf numFmtId="0" fontId="18" fillId="0" borderId="6" xfId="2" applyFont="1" applyFill="1" applyBorder="1" applyAlignment="1">
      <alignment horizontal="center" vertical="center"/>
    </xf>
    <xf numFmtId="0" fontId="18" fillId="0" borderId="28" xfId="2" applyFont="1" applyFill="1" applyBorder="1" applyAlignment="1">
      <alignment horizontal="center" vertical="center" wrapText="1"/>
    </xf>
    <xf numFmtId="0" fontId="18" fillId="0" borderId="3" xfId="2" applyFont="1" applyFill="1" applyBorder="1" applyAlignment="1">
      <alignment horizontal="left" vertical="center"/>
    </xf>
    <xf numFmtId="0" fontId="18" fillId="0" borderId="1" xfId="2" applyFont="1" applyFill="1" applyBorder="1" applyAlignment="1">
      <alignment horizontal="left" vertical="center" wrapText="1"/>
    </xf>
    <xf numFmtId="0" fontId="19" fillId="4" borderId="29" xfId="2" applyFont="1" applyBorder="1" applyAlignment="1">
      <alignment horizontal="left" wrapText="1"/>
    </xf>
    <xf numFmtId="0" fontId="18" fillId="0" borderId="2" xfId="2" applyFont="1" applyFill="1" applyBorder="1" applyAlignment="1">
      <alignment horizontal="left" vertical="center" wrapText="1"/>
    </xf>
    <xf numFmtId="0" fontId="18" fillId="0" borderId="12" xfId="2" applyFont="1" applyFill="1" applyBorder="1" applyAlignment="1">
      <alignment horizontal="center" vertical="center" wrapText="1"/>
    </xf>
    <xf numFmtId="0" fontId="18" fillId="0" borderId="3" xfId="2" applyFont="1" applyFill="1" applyBorder="1" applyAlignment="1">
      <alignment horizontal="left" vertical="center" wrapText="1"/>
    </xf>
    <xf numFmtId="0" fontId="18" fillId="0" borderId="8" xfId="0" applyFont="1" applyBorder="1" applyAlignment="1">
      <alignment horizontal="center" vertical="center" wrapText="1"/>
    </xf>
    <xf numFmtId="0" fontId="18" fillId="0" borderId="30" xfId="2" applyFont="1" applyFill="1" applyBorder="1" applyAlignment="1">
      <alignment horizontal="center" vertical="center" wrapText="1"/>
    </xf>
    <xf numFmtId="0" fontId="18" fillId="0" borderId="11" xfId="0" applyFont="1" applyBorder="1" applyAlignment="1">
      <alignment horizontal="left" vertical="center" wrapText="1"/>
    </xf>
    <xf numFmtId="0" fontId="18" fillId="0" borderId="2" xfId="0" applyFont="1" applyBorder="1" applyAlignment="1">
      <alignment horizontal="left" vertical="center" wrapText="1"/>
    </xf>
    <xf numFmtId="0" fontId="18" fillId="0" borderId="12" xfId="0" applyFont="1" applyBorder="1" applyAlignment="1">
      <alignment horizontal="center" vertical="center" wrapText="1"/>
    </xf>
    <xf numFmtId="0" fontId="18" fillId="0" borderId="3" xfId="0" applyFont="1" applyBorder="1" applyAlignment="1">
      <alignment horizontal="left" vertical="center" wrapText="1"/>
    </xf>
    <xf numFmtId="0" fontId="18" fillId="0" borderId="0" xfId="0" applyFont="1" applyAlignment="1">
      <alignment horizontal="center" vertical="center" wrapText="1"/>
    </xf>
    <xf numFmtId="0" fontId="18" fillId="0" borderId="8" xfId="2" applyFont="1" applyFill="1" applyBorder="1" applyAlignment="1">
      <alignment horizontal="center"/>
    </xf>
    <xf numFmtId="0" fontId="18" fillId="0" borderId="28" xfId="0" applyFont="1" applyBorder="1" applyAlignment="1">
      <alignment horizontal="center" vertical="center"/>
    </xf>
    <xf numFmtId="0" fontId="18" fillId="0" borderId="6" xfId="2" applyFont="1" applyFill="1" applyBorder="1" applyAlignment="1">
      <alignment vertical="center" wrapText="1"/>
    </xf>
    <xf numFmtId="0" fontId="18" fillId="0" borderId="0" xfId="2" applyFont="1" applyFill="1" applyBorder="1" applyAlignment="1">
      <alignment horizontal="center" vertical="center" wrapText="1"/>
    </xf>
    <xf numFmtId="0" fontId="21" fillId="10" borderId="29" xfId="3" applyFont="1" applyFill="1" applyBorder="1" applyAlignment="1">
      <alignment wrapText="1"/>
    </xf>
    <xf numFmtId="0" fontId="20" fillId="9" borderId="29" xfId="0" applyFont="1" applyFill="1" applyBorder="1" applyAlignment="1">
      <alignment wrapText="1"/>
    </xf>
    <xf numFmtId="0" fontId="18" fillId="0" borderId="30" xfId="0" applyFont="1" applyBorder="1" applyAlignment="1">
      <alignment horizontal="center" vertical="center"/>
    </xf>
    <xf numFmtId="0" fontId="18" fillId="0" borderId="8" xfId="0" applyFont="1" applyBorder="1" applyAlignment="1">
      <alignment horizontal="center" vertical="center"/>
    </xf>
    <xf numFmtId="0" fontId="18" fillId="0" borderId="11" xfId="2" applyFont="1" applyFill="1" applyBorder="1" applyAlignment="1">
      <alignment wrapText="1"/>
    </xf>
    <xf numFmtId="0" fontId="18" fillId="0" borderId="1" xfId="2" applyFont="1" applyFill="1" applyBorder="1" applyAlignment="1">
      <alignment horizontal="left" vertical="center"/>
    </xf>
    <xf numFmtId="0" fontId="18" fillId="0" borderId="19" xfId="2" applyFont="1" applyFill="1" applyBorder="1" applyAlignment="1">
      <alignment horizontal="center" vertical="center"/>
    </xf>
    <xf numFmtId="0" fontId="18" fillId="0" borderId="11" xfId="2" applyFont="1" applyFill="1" applyBorder="1" applyAlignment="1">
      <alignment horizontal="left" vertical="center"/>
    </xf>
    <xf numFmtId="0" fontId="18" fillId="0" borderId="31" xfId="2" applyFont="1" applyFill="1" applyBorder="1" applyAlignment="1">
      <alignment horizontal="left" vertical="center" wrapText="1"/>
    </xf>
    <xf numFmtId="0" fontId="18" fillId="0" borderId="4" xfId="2" applyFont="1" applyFill="1" applyBorder="1" applyAlignment="1">
      <alignment horizontal="center" vertical="center" wrapText="1"/>
    </xf>
    <xf numFmtId="0" fontId="18" fillId="0" borderId="19" xfId="2" applyFont="1" applyFill="1" applyBorder="1" applyAlignment="1">
      <alignment horizontal="left" vertical="center" wrapText="1"/>
    </xf>
    <xf numFmtId="0" fontId="20" fillId="7" borderId="29" xfId="4" applyFont="1" applyBorder="1" applyAlignment="1">
      <alignment horizontal="left" wrapText="1"/>
    </xf>
    <xf numFmtId="0" fontId="18" fillId="0" borderId="8" xfId="2" applyFont="1" applyFill="1" applyBorder="1" applyAlignment="1">
      <alignment horizontal="center" vertical="center" wrapText="1"/>
    </xf>
    <xf numFmtId="0" fontId="18" fillId="0" borderId="7" xfId="2" applyFont="1" applyFill="1" applyBorder="1" applyAlignment="1">
      <alignment horizontal="left" vertical="center" wrapText="1"/>
    </xf>
    <xf numFmtId="0" fontId="18" fillId="0" borderId="8" xfId="2" applyFont="1" applyFill="1" applyBorder="1" applyAlignment="1">
      <alignment horizontal="left" vertical="center" wrapText="1"/>
    </xf>
    <xf numFmtId="0" fontId="18" fillId="0" borderId="18" xfId="2" applyFont="1" applyFill="1" applyBorder="1" applyAlignment="1">
      <alignment horizontal="center" vertical="center" wrapText="1"/>
    </xf>
    <xf numFmtId="0" fontId="19" fillId="4" borderId="0" xfId="2" applyFont="1" applyAlignment="1">
      <alignment wrapText="1"/>
    </xf>
    <xf numFmtId="0" fontId="18" fillId="0" borderId="6" xfId="0" applyFont="1" applyBorder="1" applyAlignment="1">
      <alignment horizontal="left" vertical="center"/>
    </xf>
    <xf numFmtId="0" fontId="18" fillId="0" borderId="18" xfId="0" applyFont="1" applyBorder="1" applyAlignment="1">
      <alignment horizontal="left" vertical="center" wrapText="1"/>
    </xf>
    <xf numFmtId="0" fontId="18" fillId="0" borderId="8" xfId="0" applyFont="1" applyBorder="1" applyAlignment="1">
      <alignment horizontal="left" vertical="center" wrapText="1"/>
    </xf>
    <xf numFmtId="0" fontId="18" fillId="0" borderId="7"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0"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8" xfId="0" applyFont="1" applyBorder="1" applyAlignment="1">
      <alignment horizontal="left" vertical="center"/>
    </xf>
    <xf numFmtId="0" fontId="19" fillId="4" borderId="29" xfId="2" applyFont="1" applyBorder="1"/>
    <xf numFmtId="0" fontId="19" fillId="4" borderId="0" xfId="2" applyFont="1" applyBorder="1" applyAlignment="1">
      <alignment wrapText="1"/>
    </xf>
    <xf numFmtId="0" fontId="18" fillId="0" borderId="21" xfId="0" applyFont="1" applyBorder="1" applyAlignment="1">
      <alignment horizontal="center" vertical="center" wrapText="1"/>
    </xf>
    <xf numFmtId="0" fontId="18" fillId="0" borderId="22" xfId="0" applyFont="1" applyBorder="1" applyAlignment="1">
      <alignment horizontal="left" vertical="center" wrapText="1"/>
    </xf>
    <xf numFmtId="0" fontId="18" fillId="0" borderId="8" xfId="2" applyFont="1" applyFill="1" applyBorder="1" applyAlignment="1">
      <alignment wrapText="1"/>
    </xf>
    <xf numFmtId="0" fontId="18" fillId="0" borderId="7" xfId="2" applyFont="1" applyFill="1" applyBorder="1" applyAlignment="1">
      <alignment horizontal="center" vertical="center" wrapText="1"/>
    </xf>
    <xf numFmtId="0" fontId="18" fillId="0" borderId="0" xfId="2" applyFont="1" applyFill="1" applyBorder="1" applyAlignment="1">
      <alignment horizontal="left" vertical="center"/>
    </xf>
    <xf numFmtId="0" fontId="19" fillId="0" borderId="0" xfId="2" applyFont="1" applyFill="1" applyAlignment="1">
      <alignment horizontal="left" vertical="center"/>
    </xf>
    <xf numFmtId="0" fontId="18" fillId="0" borderId="28" xfId="0" applyFont="1" applyBorder="1" applyAlignment="1">
      <alignment horizontal="left" vertical="center" wrapText="1"/>
    </xf>
    <xf numFmtId="0" fontId="18" fillId="0" borderId="0" xfId="0" applyFont="1" applyAlignment="1">
      <alignment horizontal="left" vertical="center" wrapText="1"/>
    </xf>
    <xf numFmtId="0" fontId="18" fillId="0" borderId="8" xfId="2" applyFont="1" applyFill="1" applyBorder="1" applyAlignment="1">
      <alignment horizontal="left" vertical="center"/>
    </xf>
    <xf numFmtId="0" fontId="18" fillId="0" borderId="0" xfId="0" applyFont="1" applyAlignment="1">
      <alignment horizontal="center" vertical="center"/>
    </xf>
    <xf numFmtId="0" fontId="18" fillId="0" borderId="24" xfId="2" applyFont="1" applyFill="1" applyBorder="1" applyAlignment="1">
      <alignment horizontal="left" vertical="center" wrapText="1"/>
    </xf>
    <xf numFmtId="0" fontId="18" fillId="0" borderId="18" xfId="2" applyFont="1" applyFill="1" applyBorder="1" applyAlignment="1">
      <alignment horizontal="left" vertical="center" wrapText="1"/>
    </xf>
    <xf numFmtId="0" fontId="18" fillId="0" borderId="6" xfId="0" applyFont="1" applyBorder="1" applyAlignment="1">
      <alignment vertical="center" wrapText="1"/>
    </xf>
    <xf numFmtId="0" fontId="20" fillId="7" borderId="0" xfId="4" applyFont="1" applyBorder="1" applyAlignment="1">
      <alignment wrapText="1"/>
    </xf>
    <xf numFmtId="0" fontId="19" fillId="4" borderId="0" xfId="2" applyFont="1" applyBorder="1" applyAlignment="1">
      <alignment horizontal="left" wrapText="1"/>
    </xf>
    <xf numFmtId="0" fontId="19" fillId="4" borderId="14" xfId="2" applyFont="1" applyBorder="1" applyAlignment="1">
      <alignment horizontal="left" wrapText="1"/>
    </xf>
    <xf numFmtId="0" fontId="18" fillId="0" borderId="22" xfId="2" applyFont="1" applyFill="1" applyBorder="1" applyAlignment="1">
      <alignment vertical="center" wrapText="1"/>
    </xf>
    <xf numFmtId="0" fontId="18" fillId="0" borderId="32" xfId="2" applyFont="1" applyFill="1" applyBorder="1" applyAlignment="1">
      <alignment horizontal="left" vertical="center" wrapText="1"/>
    </xf>
    <xf numFmtId="0" fontId="18" fillId="0" borderId="32" xfId="2" applyFont="1" applyFill="1" applyBorder="1" applyAlignment="1">
      <alignment horizontal="center" vertical="center" wrapText="1"/>
    </xf>
    <xf numFmtId="0" fontId="18" fillId="0" borderId="32" xfId="0" applyFont="1" applyBorder="1" applyAlignment="1">
      <alignment horizontal="left" vertical="center"/>
    </xf>
    <xf numFmtId="0" fontId="18" fillId="0" borderId="15" xfId="2" applyFont="1" applyFill="1" applyBorder="1" applyAlignment="1">
      <alignment vertical="center" wrapText="1"/>
    </xf>
    <xf numFmtId="0" fontId="18" fillId="0" borderId="0" xfId="2" applyFont="1" applyFill="1" applyBorder="1" applyAlignment="1">
      <alignment horizontal="left" vertical="center" wrapText="1"/>
    </xf>
    <xf numFmtId="0" fontId="18" fillId="0" borderId="13" xfId="2" applyFont="1" applyFill="1" applyBorder="1" applyAlignment="1">
      <alignment horizontal="center" vertical="center" wrapText="1"/>
    </xf>
    <xf numFmtId="0" fontId="18" fillId="0" borderId="15" xfId="2" applyFont="1" applyFill="1" applyBorder="1" applyAlignment="1">
      <alignment horizontal="left" vertical="center" wrapText="1"/>
    </xf>
    <xf numFmtId="0" fontId="18" fillId="0" borderId="13" xfId="2" applyFont="1" applyFill="1" applyBorder="1" applyAlignment="1">
      <alignment horizontal="left" vertical="center" wrapText="1"/>
    </xf>
    <xf numFmtId="0" fontId="18" fillId="0" borderId="13" xfId="2" applyFont="1" applyFill="1" applyBorder="1" applyAlignment="1">
      <alignment horizontal="center" vertical="center"/>
    </xf>
    <xf numFmtId="0" fontId="18" fillId="0" borderId="13" xfId="0" applyFont="1" applyBorder="1" applyAlignment="1">
      <alignment horizontal="left" vertical="center" wrapText="1"/>
    </xf>
    <xf numFmtId="0" fontId="18" fillId="0" borderId="13" xfId="0" applyFont="1" applyBorder="1" applyAlignment="1">
      <alignment horizontal="center" vertical="center" wrapText="1"/>
    </xf>
    <xf numFmtId="0" fontId="19" fillId="0" borderId="30" xfId="2" applyFont="1" applyFill="1" applyBorder="1" applyAlignment="1">
      <alignment horizontal="center" vertical="center" wrapText="1"/>
    </xf>
    <xf numFmtId="0" fontId="18" fillId="0" borderId="0" xfId="2" applyFont="1" applyFill="1" applyBorder="1" applyAlignment="1">
      <alignment vertical="center" wrapText="1"/>
    </xf>
    <xf numFmtId="0" fontId="18" fillId="0" borderId="13" xfId="0" applyFont="1" applyBorder="1" applyAlignment="1">
      <alignment horizontal="center" vertical="center"/>
    </xf>
    <xf numFmtId="0" fontId="19" fillId="4" borderId="14" xfId="2" applyFont="1" applyBorder="1" applyAlignment="1">
      <alignment wrapText="1"/>
    </xf>
    <xf numFmtId="0" fontId="18" fillId="0" borderId="6" xfId="2" applyFont="1" applyFill="1" applyBorder="1" applyAlignment="1">
      <alignment horizontal="left" vertical="center"/>
    </xf>
    <xf numFmtId="0" fontId="21" fillId="6" borderId="14" xfId="3" applyFont="1" applyBorder="1" applyAlignment="1">
      <alignment wrapText="1"/>
    </xf>
    <xf numFmtId="0" fontId="18" fillId="0" borderId="7" xfId="2" applyFont="1" applyFill="1" applyBorder="1" applyAlignment="1">
      <alignment vertical="center" wrapText="1"/>
    </xf>
    <xf numFmtId="0" fontId="23" fillId="0" borderId="0" xfId="0" applyFont="1" applyAlignment="1">
      <alignment horizontal="left" vertical="center"/>
    </xf>
    <xf numFmtId="0" fontId="24" fillId="0" borderId="14" xfId="0" applyFont="1" applyBorder="1" applyAlignment="1">
      <alignment wrapText="1"/>
    </xf>
    <xf numFmtId="0" fontId="10" fillId="0" borderId="0" xfId="0" applyFont="1" applyAlignment="1">
      <alignment horizontal="left"/>
    </xf>
    <xf numFmtId="0" fontId="7" fillId="0" borderId="24" xfId="2" applyFont="1" applyFill="1" applyBorder="1" applyAlignment="1">
      <alignment horizontal="left" vertical="top" wrapText="1"/>
    </xf>
    <xf numFmtId="0" fontId="7" fillId="0" borderId="25" xfId="2" applyFont="1" applyFill="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7" fillId="0" borderId="33" xfId="2" applyFont="1" applyFill="1" applyBorder="1" applyAlignment="1">
      <alignment horizontal="left" vertical="top" wrapText="1"/>
    </xf>
    <xf numFmtId="0" fontId="7" fillId="0" borderId="24" xfId="2" applyFont="1" applyFill="1" applyBorder="1" applyAlignment="1">
      <alignment horizontal="left" vertical="top"/>
    </xf>
    <xf numFmtId="0" fontId="7" fillId="0" borderId="33" xfId="2" applyFont="1" applyFill="1" applyBorder="1" applyAlignment="1">
      <alignment horizontal="left" vertical="top"/>
    </xf>
    <xf numFmtId="0" fontId="7" fillId="0" borderId="25" xfId="2" applyFont="1" applyFill="1" applyBorder="1" applyAlignment="1">
      <alignment horizontal="left" vertical="top"/>
    </xf>
    <xf numFmtId="0" fontId="7" fillId="0" borderId="33" xfId="0" applyFont="1" applyBorder="1" applyAlignment="1">
      <alignment horizontal="left" vertical="top" wrapText="1"/>
    </xf>
    <xf numFmtId="0" fontId="7" fillId="0" borderId="25" xfId="0" applyFont="1" applyBorder="1" applyAlignment="1">
      <alignment horizontal="left" vertical="top"/>
    </xf>
    <xf numFmtId="0" fontId="7" fillId="0" borderId="33" xfId="0" applyFont="1" applyBorder="1" applyAlignment="1">
      <alignment horizontal="left" vertical="top"/>
    </xf>
    <xf numFmtId="0" fontId="5" fillId="0" borderId="0" xfId="5" applyFont="1"/>
    <xf numFmtId="0" fontId="4" fillId="0" borderId="0" xfId="5" applyFont="1"/>
    <xf numFmtId="0" fontId="0" fillId="0" borderId="5" xfId="0" applyBorder="1" applyAlignment="1">
      <alignment wrapText="1"/>
    </xf>
    <xf numFmtId="0" fontId="10" fillId="0" borderId="0" xfId="0" applyFont="1" applyAlignment="1">
      <alignment horizontal="left" vertical="top"/>
    </xf>
    <xf numFmtId="0" fontId="0" fillId="13" borderId="0" xfId="0" applyFill="1"/>
    <xf numFmtId="0" fontId="0" fillId="14" borderId="0" xfId="0" applyFill="1"/>
    <xf numFmtId="0" fontId="0" fillId="15" borderId="0" xfId="0" applyFill="1"/>
    <xf numFmtId="0" fontId="7" fillId="0" borderId="18" xfId="0" applyFont="1" applyBorder="1" applyAlignment="1">
      <alignment horizontal="left" vertical="center"/>
    </xf>
    <xf numFmtId="0" fontId="7" fillId="0" borderId="16" xfId="0" applyFont="1" applyBorder="1" applyAlignment="1">
      <alignment horizontal="left" vertical="center"/>
    </xf>
    <xf numFmtId="0" fontId="12" fillId="0" borderId="18" xfId="2" applyFill="1" applyBorder="1" applyAlignment="1">
      <alignment horizontal="left" vertical="center"/>
    </xf>
    <xf numFmtId="0" fontId="0" fillId="0" borderId="16" xfId="0" applyBorder="1" applyAlignment="1">
      <alignment horizontal="right"/>
    </xf>
    <xf numFmtId="0" fontId="10" fillId="17" borderId="16" xfId="0" applyFont="1" applyFill="1" applyBorder="1"/>
    <xf numFmtId="0" fontId="0" fillId="17" borderId="0" xfId="0" applyFill="1"/>
    <xf numFmtId="0" fontId="0" fillId="17" borderId="0" xfId="0" applyFill="1" applyAlignment="1">
      <alignment horizontal="left"/>
    </xf>
    <xf numFmtId="0" fontId="10" fillId="0" borderId="23"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26"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protection locked="0"/>
    </xf>
    <xf numFmtId="0" fontId="10" fillId="0" borderId="26" xfId="0" applyFont="1" applyBorder="1" applyAlignment="1" applyProtection="1">
      <alignment horizontal="left" vertical="center" wrapText="1"/>
      <protection locked="0"/>
    </xf>
    <xf numFmtId="0" fontId="0" fillId="0" borderId="0" xfId="0" applyAlignment="1" applyProtection="1">
      <alignment horizontal="center" vertical="center" wrapText="1"/>
      <protection locked="0"/>
    </xf>
    <xf numFmtId="0" fontId="0" fillId="0" borderId="24" xfId="2" applyFont="1" applyFill="1" applyBorder="1" applyAlignment="1" applyProtection="1">
      <alignment horizontal="left" vertical="top" wrapText="1"/>
      <protection locked="0"/>
    </xf>
    <xf numFmtId="0" fontId="0" fillId="0" borderId="0" xfId="2" applyFont="1" applyFill="1" applyBorder="1" applyAlignment="1" applyProtection="1">
      <alignment horizontal="left" vertical="top"/>
      <protection locked="0"/>
    </xf>
    <xf numFmtId="0" fontId="0" fillId="0" borderId="0" xfId="2" applyFont="1" applyFill="1" applyBorder="1" applyAlignment="1" applyProtection="1">
      <alignment horizontal="center"/>
      <protection locked="0"/>
    </xf>
    <xf numFmtId="0" fontId="0" fillId="0" borderId="30" xfId="2" applyFont="1" applyFill="1" applyBorder="1" applyAlignment="1" applyProtection="1">
      <alignment horizontal="center"/>
      <protection locked="0"/>
    </xf>
    <xf numFmtId="0" fontId="0" fillId="0" borderId="0" xfId="2" applyFont="1" applyFill="1" applyBorder="1" applyAlignment="1" applyProtection="1">
      <protection locked="0"/>
    </xf>
    <xf numFmtId="0" fontId="0" fillId="0" borderId="0" xfId="2" applyFont="1" applyFill="1" applyAlignment="1" applyProtection="1">
      <protection locked="0"/>
    </xf>
    <xf numFmtId="0" fontId="0" fillId="0" borderId="30" xfId="2" applyFont="1" applyFill="1" applyBorder="1" applyAlignment="1" applyProtection="1">
      <alignment wrapText="1"/>
      <protection locked="0"/>
    </xf>
    <xf numFmtId="0" fontId="0" fillId="0" borderId="29" xfId="2" applyFont="1" applyFill="1" applyBorder="1" applyAlignment="1" applyProtection="1">
      <alignment wrapText="1"/>
      <protection locked="0"/>
    </xf>
    <xf numFmtId="0" fontId="0" fillId="0" borderId="0" xfId="2" applyFont="1" applyFill="1" applyBorder="1" applyAlignment="1" applyProtection="1">
      <alignment wrapText="1"/>
      <protection locked="0"/>
    </xf>
    <xf numFmtId="0" fontId="0" fillId="0" borderId="29" xfId="2" applyFont="1" applyFill="1" applyBorder="1" applyAlignment="1" applyProtection="1">
      <protection locked="0"/>
    </xf>
    <xf numFmtId="0" fontId="0" fillId="0" borderId="29" xfId="2" applyFont="1" applyFill="1" applyBorder="1" applyProtection="1">
      <protection locked="0"/>
    </xf>
    <xf numFmtId="0" fontId="0" fillId="0" borderId="0" xfId="2" applyFont="1" applyFill="1" applyBorder="1" applyProtection="1">
      <protection locked="0"/>
    </xf>
    <xf numFmtId="0" fontId="0" fillId="0" borderId="30" xfId="2" applyFont="1" applyFill="1" applyBorder="1" applyProtection="1">
      <protection locked="0"/>
    </xf>
    <xf numFmtId="0" fontId="0" fillId="0" borderId="0" xfId="0" applyProtection="1">
      <protection locked="0"/>
    </xf>
    <xf numFmtId="0" fontId="0" fillId="0" borderId="15" xfId="2" applyFont="1" applyFill="1" applyBorder="1" applyAlignment="1" applyProtection="1">
      <alignment horizontal="left" vertical="top" wrapText="1"/>
      <protection locked="0"/>
    </xf>
    <xf numFmtId="0" fontId="0" fillId="0" borderId="0" xfId="2" applyFont="1" applyFill="1" applyBorder="1" applyAlignment="1" applyProtection="1">
      <alignment horizontal="left" vertical="top" wrapText="1"/>
      <protection locked="0"/>
    </xf>
    <xf numFmtId="0" fontId="0" fillId="0" borderId="30" xfId="2" applyFont="1" applyFill="1" applyBorder="1" applyAlignment="1" applyProtection="1">
      <protection locked="0"/>
    </xf>
    <xf numFmtId="0" fontId="0" fillId="0" borderId="0" xfId="0" applyAlignment="1" applyProtection="1">
      <alignment horizontal="left" vertical="top"/>
      <protection locked="0"/>
    </xf>
    <xf numFmtId="0" fontId="0" fillId="0" borderId="0" xfId="0" applyAlignment="1" applyProtection="1">
      <alignment horizontal="center"/>
      <protection locked="0"/>
    </xf>
    <xf numFmtId="0" fontId="0" fillId="0" borderId="30" xfId="0" applyBorder="1" applyAlignment="1" applyProtection="1">
      <alignment horizontal="center"/>
      <protection locked="0"/>
    </xf>
    <xf numFmtId="0" fontId="0" fillId="0" borderId="30" xfId="0" applyBorder="1" applyProtection="1">
      <protection locked="0"/>
    </xf>
    <xf numFmtId="0" fontId="0" fillId="0" borderId="29" xfId="0" applyBorder="1" applyProtection="1">
      <protection locked="0"/>
    </xf>
    <xf numFmtId="0" fontId="0" fillId="12" borderId="0" xfId="0" applyFill="1" applyProtection="1">
      <protection locked="0"/>
    </xf>
    <xf numFmtId="0" fontId="0" fillId="0" borderId="15" xfId="2" applyFont="1" applyFill="1" applyBorder="1" applyAlignment="1" applyProtection="1">
      <alignment horizontal="left" vertical="top"/>
      <protection locked="0"/>
    </xf>
    <xf numFmtId="0" fontId="0" fillId="0" borderId="20" xfId="2" applyFont="1" applyFill="1" applyBorder="1" applyAlignment="1" applyProtection="1">
      <protection locked="0"/>
    </xf>
    <xf numFmtId="0" fontId="0" fillId="0" borderId="14" xfId="2" applyFont="1" applyFill="1" applyBorder="1" applyAlignment="1" applyProtection="1">
      <alignment wrapText="1"/>
      <protection locked="0"/>
    </xf>
    <xf numFmtId="0" fontId="0" fillId="0" borderId="15" xfId="0" applyBorder="1" applyAlignment="1" applyProtection="1">
      <alignment horizontal="left" vertical="top"/>
      <protection locked="0"/>
    </xf>
    <xf numFmtId="0" fontId="0" fillId="0" borderId="20" xfId="0" applyBorder="1" applyProtection="1">
      <protection locked="0"/>
    </xf>
    <xf numFmtId="0" fontId="0" fillId="0" borderId="14" xfId="0" applyBorder="1" applyProtection="1">
      <protection locked="0"/>
    </xf>
    <xf numFmtId="0" fontId="0" fillId="2" borderId="0" xfId="0" applyFill="1" applyProtection="1">
      <protection locked="0"/>
    </xf>
    <xf numFmtId="0" fontId="0" fillId="0" borderId="0" xfId="2" applyFont="1" applyFill="1" applyAlignment="1" applyProtection="1">
      <alignment horizontal="left" vertical="top"/>
      <protection locked="0"/>
    </xf>
    <xf numFmtId="0" fontId="0" fillId="0" borderId="0" xfId="2" applyFont="1" applyFill="1" applyAlignment="1" applyProtection="1">
      <alignment horizontal="center"/>
      <protection locked="0"/>
    </xf>
    <xf numFmtId="2" fontId="0" fillId="0" borderId="29" xfId="2" applyNumberFormat="1" applyFont="1" applyFill="1" applyBorder="1" applyAlignment="1" applyProtection="1">
      <protection locked="0"/>
    </xf>
    <xf numFmtId="2" fontId="0" fillId="0" borderId="0" xfId="2" applyNumberFormat="1" applyFont="1" applyFill="1" applyBorder="1" applyAlignment="1" applyProtection="1">
      <protection locked="0"/>
    </xf>
    <xf numFmtId="0" fontId="0" fillId="0" borderId="14" xfId="2" applyFont="1" applyFill="1" applyBorder="1" applyAlignment="1" applyProtection="1">
      <protection locked="0"/>
    </xf>
    <xf numFmtId="0" fontId="0" fillId="0" borderId="20" xfId="2" applyFont="1" applyFill="1" applyBorder="1" applyAlignment="1" applyProtection="1">
      <alignment wrapText="1"/>
      <protection locked="0"/>
    </xf>
    <xf numFmtId="0" fontId="0" fillId="0" borderId="27" xfId="2" applyFont="1" applyFill="1" applyBorder="1" applyAlignment="1" applyProtection="1">
      <alignment wrapText="1"/>
      <protection locked="0"/>
    </xf>
    <xf numFmtId="0" fontId="0" fillId="0" borderId="27" xfId="2" applyFont="1" applyFill="1" applyBorder="1" applyAlignment="1" applyProtection="1">
      <protection locked="0"/>
    </xf>
    <xf numFmtId="164" fontId="0" fillId="0" borderId="0" xfId="0" applyNumberFormat="1" applyProtection="1">
      <protection locked="0"/>
    </xf>
    <xf numFmtId="2" fontId="0" fillId="0" borderId="0" xfId="0" applyNumberFormat="1" applyProtection="1">
      <protection locked="0"/>
    </xf>
    <xf numFmtId="0" fontId="0" fillId="0" borderId="5" xfId="2" applyFont="1" applyFill="1" applyBorder="1" applyAlignment="1" applyProtection="1">
      <protection locked="0"/>
    </xf>
    <xf numFmtId="164" fontId="0" fillId="0" borderId="0" xfId="2" applyNumberFormat="1" applyFont="1" applyFill="1" applyBorder="1" applyProtection="1">
      <protection locked="0"/>
    </xf>
    <xf numFmtId="2" fontId="0" fillId="0" borderId="30" xfId="2" applyNumberFormat="1" applyFont="1" applyFill="1" applyBorder="1" applyProtection="1">
      <protection locked="0"/>
    </xf>
    <xf numFmtId="2" fontId="0" fillId="0" borderId="0" xfId="2" applyNumberFormat="1" applyFont="1" applyFill="1" applyBorder="1" applyProtection="1">
      <protection locked="0"/>
    </xf>
    <xf numFmtId="0" fontId="0" fillId="0" borderId="0" xfId="2" applyFont="1" applyFill="1" applyBorder="1" applyAlignment="1" applyProtection="1">
      <alignment horizontal="center" wrapText="1"/>
      <protection locked="0"/>
    </xf>
    <xf numFmtId="0" fontId="0" fillId="0" borderId="30" xfId="2" applyFont="1" applyFill="1" applyBorder="1" applyAlignment="1" applyProtection="1">
      <alignment horizontal="center" wrapText="1"/>
      <protection locked="0"/>
    </xf>
    <xf numFmtId="2" fontId="0" fillId="0" borderId="14" xfId="2" applyNumberFormat="1" applyFont="1" applyFill="1" applyBorder="1" applyAlignment="1" applyProtection="1">
      <protection locked="0"/>
    </xf>
    <xf numFmtId="0" fontId="0" fillId="0" borderId="20" xfId="2" applyFont="1" applyFill="1" applyBorder="1" applyProtection="1">
      <protection locked="0"/>
    </xf>
    <xf numFmtId="0" fontId="0" fillId="0" borderId="0" xfId="2" applyFont="1" applyFill="1" applyBorder="1" applyAlignment="1" applyProtection="1">
      <alignment horizontal="center" vertical="center"/>
      <protection locked="0"/>
    </xf>
    <xf numFmtId="0" fontId="0" fillId="0" borderId="30" xfId="2" applyFont="1" applyFill="1" applyBorder="1" applyAlignment="1" applyProtection="1">
      <alignment horizontal="center" vertical="center"/>
      <protection locked="0"/>
    </xf>
    <xf numFmtId="0" fontId="0" fillId="0" borderId="0" xfId="2" applyFont="1" applyFill="1" applyBorder="1" applyAlignment="1" applyProtection="1">
      <alignment vertical="center"/>
      <protection locked="0"/>
    </xf>
    <xf numFmtId="2" fontId="0" fillId="0" borderId="29" xfId="2" applyNumberFormat="1" applyFont="1" applyFill="1" applyBorder="1" applyAlignment="1" applyProtection="1">
      <alignment wrapText="1"/>
      <protection locked="0"/>
    </xf>
    <xf numFmtId="2" fontId="0" fillId="0" borderId="0" xfId="2" applyNumberFormat="1" applyFont="1" applyFill="1" applyBorder="1" applyAlignment="1" applyProtection="1">
      <alignment wrapText="1"/>
      <protection locked="0"/>
    </xf>
    <xf numFmtId="0" fontId="7" fillId="0" borderId="15" xfId="2" applyFont="1" applyFill="1" applyBorder="1" applyAlignment="1" applyProtection="1">
      <alignment horizontal="left" vertical="top" wrapText="1"/>
      <protection locked="0"/>
    </xf>
    <xf numFmtId="164" fontId="0" fillId="0" borderId="29" xfId="0" applyNumberFormat="1" applyBorder="1" applyProtection="1">
      <protection locked="0"/>
    </xf>
    <xf numFmtId="0" fontId="7" fillId="0" borderId="0" xfId="2" applyFont="1" applyFill="1" applyBorder="1" applyAlignment="1" applyProtection="1">
      <alignment horizontal="left" vertical="top" wrapText="1"/>
      <protection locked="0"/>
    </xf>
    <xf numFmtId="0" fontId="7" fillId="0" borderId="15" xfId="0" applyFont="1" applyBorder="1" applyAlignment="1" applyProtection="1">
      <alignment horizontal="left" vertical="top"/>
      <protection locked="0"/>
    </xf>
    <xf numFmtId="2" fontId="0" fillId="0" borderId="14" xfId="0" applyNumberFormat="1" applyBorder="1" applyProtection="1">
      <protection locked="0"/>
    </xf>
    <xf numFmtId="2" fontId="0" fillId="0" borderId="29" xfId="0" applyNumberFormat="1" applyBorder="1" applyProtection="1">
      <protection locked="0"/>
    </xf>
    <xf numFmtId="0" fontId="0" fillId="0" borderId="27" xfId="0" applyBorder="1" applyProtection="1">
      <protection locked="0"/>
    </xf>
    <xf numFmtId="2" fontId="0" fillId="0" borderId="27" xfId="0" applyNumberFormat="1" applyBorder="1" applyProtection="1">
      <protection locked="0"/>
    </xf>
    <xf numFmtId="0" fontId="7" fillId="0" borderId="15" xfId="0" applyFont="1"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164" fontId="0" fillId="0" borderId="0" xfId="2" applyNumberFormat="1" applyFont="1" applyFill="1" applyBorder="1" applyAlignment="1" applyProtection="1">
      <protection locked="0"/>
    </xf>
    <xf numFmtId="0" fontId="0" fillId="0" borderId="0" xfId="2" applyFont="1" applyFill="1" applyAlignment="1" applyProtection="1">
      <alignment wrapText="1"/>
      <protection locked="0"/>
    </xf>
    <xf numFmtId="0" fontId="0" fillId="0" borderId="5" xfId="0" applyBorder="1" applyAlignment="1" applyProtection="1">
      <alignment horizontal="center"/>
      <protection locked="0"/>
    </xf>
    <xf numFmtId="0" fontId="7" fillId="0" borderId="0" xfId="0" applyFont="1" applyAlignment="1" applyProtection="1">
      <alignment horizontal="left" vertical="top" wrapText="1"/>
      <protection locked="0"/>
    </xf>
    <xf numFmtId="0" fontId="0" fillId="0" borderId="4" xfId="0" applyBorder="1" applyProtection="1">
      <protection locked="0"/>
    </xf>
    <xf numFmtId="0" fontId="0" fillId="11" borderId="0" xfId="0" applyFill="1" applyProtection="1">
      <protection locked="0"/>
    </xf>
    <xf numFmtId="10" fontId="0" fillId="0" borderId="14" xfId="2" applyNumberFormat="1" applyFont="1" applyFill="1" applyBorder="1" applyAlignment="1" applyProtection="1">
      <protection locked="0"/>
    </xf>
    <xf numFmtId="164" fontId="0" fillId="0" borderId="0" xfId="0" quotePrefix="1" applyNumberFormat="1" applyProtection="1">
      <protection locked="0"/>
    </xf>
    <xf numFmtId="0" fontId="15" fillId="0" borderId="15" xfId="2" applyFont="1" applyFill="1" applyBorder="1" applyAlignment="1" applyProtection="1">
      <alignment horizontal="left" vertical="top" wrapText="1"/>
      <protection locked="0"/>
    </xf>
    <xf numFmtId="0" fontId="15" fillId="0" borderId="0" xfId="2" applyFont="1" applyFill="1" applyBorder="1" applyAlignment="1" applyProtection="1">
      <alignment horizontal="center"/>
      <protection locked="0"/>
    </xf>
    <xf numFmtId="0" fontId="15" fillId="0" borderId="30" xfId="2" applyFont="1" applyFill="1" applyBorder="1" applyAlignment="1" applyProtection="1">
      <alignment horizontal="center"/>
      <protection locked="0"/>
    </xf>
    <xf numFmtId="0" fontId="15" fillId="0" borderId="0" xfId="2" applyFont="1" applyFill="1" applyBorder="1" applyAlignment="1" applyProtection="1">
      <protection locked="0"/>
    </xf>
    <xf numFmtId="0" fontId="15" fillId="0" borderId="20" xfId="2" applyFont="1" applyFill="1" applyBorder="1" applyAlignment="1" applyProtection="1">
      <protection locked="0"/>
    </xf>
    <xf numFmtId="0" fontId="15" fillId="0" borderId="14" xfId="2" applyFont="1" applyFill="1" applyBorder="1" applyAlignment="1" applyProtection="1">
      <protection locked="0"/>
    </xf>
    <xf numFmtId="0" fontId="15" fillId="0" borderId="29" xfId="2" applyFont="1" applyFill="1" applyBorder="1" applyAlignment="1" applyProtection="1">
      <protection locked="0"/>
    </xf>
    <xf numFmtId="0" fontId="15" fillId="0" borderId="29" xfId="2" applyFont="1" applyFill="1" applyBorder="1" applyProtection="1">
      <protection locked="0"/>
    </xf>
    <xf numFmtId="0" fontId="15" fillId="0" borderId="0" xfId="2" applyFont="1" applyFill="1" applyBorder="1" applyProtection="1">
      <protection locked="0"/>
    </xf>
    <xf numFmtId="0" fontId="15" fillId="0" borderId="30" xfId="2" applyFont="1" applyFill="1" applyBorder="1" applyProtection="1">
      <protection locked="0"/>
    </xf>
    <xf numFmtId="0" fontId="0" fillId="0" borderId="0" xfId="0" applyAlignment="1" applyProtection="1">
      <alignment horizontal="left" vertical="top" wrapText="1"/>
      <protection locked="0"/>
    </xf>
    <xf numFmtId="0" fontId="18" fillId="0" borderId="37" xfId="2" applyFont="1" applyFill="1" applyBorder="1" applyAlignment="1">
      <alignment horizontal="left" vertical="center" wrapText="1"/>
    </xf>
    <xf numFmtId="0" fontId="18" fillId="0" borderId="37" xfId="2" applyFont="1" applyFill="1" applyBorder="1" applyAlignment="1">
      <alignment horizontal="center" vertical="center" wrapText="1"/>
    </xf>
    <xf numFmtId="0" fontId="18" fillId="0" borderId="37" xfId="0" applyFont="1" applyBorder="1" applyAlignment="1">
      <alignment horizontal="center" vertical="center" wrapText="1"/>
    </xf>
    <xf numFmtId="0" fontId="18" fillId="0" borderId="37" xfId="0" applyFont="1" applyBorder="1" applyAlignment="1">
      <alignment vertical="center" wrapText="1"/>
    </xf>
    <xf numFmtId="0" fontId="18" fillId="0" borderId="37" xfId="0" applyFont="1" applyBorder="1" applyAlignment="1">
      <alignment horizontal="left" vertical="center" wrapText="1"/>
    </xf>
    <xf numFmtId="0" fontId="18" fillId="0" borderId="37" xfId="2" applyFont="1" applyFill="1" applyBorder="1" applyAlignment="1">
      <alignment vertical="center" wrapText="1"/>
    </xf>
    <xf numFmtId="0" fontId="7" fillId="0" borderId="38" xfId="0" applyFont="1" applyBorder="1" applyAlignment="1">
      <alignment horizontal="left" vertical="top"/>
    </xf>
    <xf numFmtId="0" fontId="18" fillId="0" borderId="0" xfId="0" applyFont="1" applyAlignment="1">
      <alignment vertical="center" wrapText="1"/>
    </xf>
    <xf numFmtId="0" fontId="3" fillId="16" borderId="0" xfId="5" applyFont="1" applyFill="1"/>
    <xf numFmtId="0" fontId="0" fillId="0" borderId="4" xfId="0" applyBorder="1" applyAlignment="1" applyProtection="1">
      <alignment horizontal="left" vertical="top"/>
      <protection locked="0"/>
    </xf>
    <xf numFmtId="0" fontId="0" fillId="0" borderId="4" xfId="0" applyBorder="1" applyAlignment="1" applyProtection="1">
      <alignment horizontal="center"/>
      <protection locked="0"/>
    </xf>
    <xf numFmtId="0" fontId="0" fillId="0" borderId="36"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19" xfId="0" applyBorder="1" applyProtection="1">
      <protection locked="0"/>
    </xf>
    <xf numFmtId="0" fontId="0" fillId="0" borderId="11" xfId="0" applyBorder="1" applyProtection="1">
      <protection locked="0"/>
    </xf>
    <xf numFmtId="0" fontId="2" fillId="0" borderId="0" xfId="5" applyFont="1"/>
    <xf numFmtId="0" fontId="7" fillId="0" borderId="38" xfId="0" applyFont="1" applyBorder="1" applyAlignment="1">
      <alignment horizontal="center" vertical="top"/>
    </xf>
    <xf numFmtId="0" fontId="7" fillId="0" borderId="33" xfId="0" applyFont="1" applyBorder="1" applyAlignment="1">
      <alignment horizontal="center" vertical="center" wrapText="1"/>
    </xf>
    <xf numFmtId="0" fontId="7" fillId="0" borderId="25" xfId="0" applyFont="1" applyBorder="1" applyAlignment="1">
      <alignment horizontal="center" vertical="center"/>
    </xf>
    <xf numFmtId="0" fontId="18" fillId="0" borderId="16" xfId="0" applyFont="1" applyBorder="1" applyAlignment="1">
      <alignment horizontal="left" vertical="center"/>
    </xf>
    <xf numFmtId="0" fontId="0" fillId="18" borderId="0" xfId="0" applyFill="1"/>
    <xf numFmtId="0" fontId="0" fillId="18" borderId="0" xfId="0" applyFill="1" applyAlignment="1">
      <alignment horizontal="right"/>
    </xf>
    <xf numFmtId="0" fontId="25" fillId="18" borderId="0" xfId="0" applyFont="1" applyFill="1" applyAlignment="1">
      <alignment horizontal="right"/>
    </xf>
    <xf numFmtId="0" fontId="0" fillId="19" borderId="0" xfId="0" applyFill="1"/>
    <xf numFmtId="0" fontId="0" fillId="19" borderId="0" xfId="0" applyFill="1" applyAlignment="1">
      <alignment horizontal="right"/>
    </xf>
    <xf numFmtId="0" fontId="25" fillId="19" borderId="0" xfId="0" applyFont="1" applyFill="1" applyAlignment="1">
      <alignment horizontal="right"/>
    </xf>
    <xf numFmtId="0" fontId="0" fillId="20" borderId="0" xfId="0" applyFill="1"/>
    <xf numFmtId="0" fontId="0" fillId="20" borderId="0" xfId="0" applyFill="1" applyAlignment="1">
      <alignment horizontal="right"/>
    </xf>
    <xf numFmtId="0" fontId="0" fillId="21" borderId="0" xfId="0" applyFill="1"/>
    <xf numFmtId="0" fontId="0" fillId="21" borderId="0" xfId="0" applyFill="1" applyAlignment="1">
      <alignment horizontal="right"/>
    </xf>
    <xf numFmtId="0" fontId="25" fillId="21" borderId="0" xfId="0" applyFont="1" applyFill="1" applyAlignment="1">
      <alignment horizontal="right"/>
    </xf>
    <xf numFmtId="0" fontId="0" fillId="22" borderId="0" xfId="0" applyFill="1"/>
    <xf numFmtId="0" fontId="0" fillId="22" borderId="0" xfId="0" applyFill="1" applyAlignment="1">
      <alignment horizontal="right"/>
    </xf>
    <xf numFmtId="0" fontId="25" fillId="22" borderId="0" xfId="0" applyFont="1" applyFill="1" applyAlignment="1">
      <alignment horizontal="right"/>
    </xf>
    <xf numFmtId="0" fontId="25" fillId="20" borderId="0" xfId="0" applyFont="1" applyFill="1" applyAlignment="1">
      <alignment horizontal="right"/>
    </xf>
    <xf numFmtId="0" fontId="0" fillId="0" borderId="0" xfId="2" applyFont="1" applyFill="1"/>
    <xf numFmtId="0" fontId="0" fillId="0" borderId="0" xfId="2" applyFont="1" applyFill="1" applyAlignment="1">
      <alignment wrapText="1"/>
    </xf>
    <xf numFmtId="0" fontId="0" fillId="0" borderId="0" xfId="2" applyFont="1" applyFill="1" applyAlignment="1">
      <alignment horizontal="right"/>
    </xf>
    <xf numFmtId="0" fontId="0" fillId="0" borderId="0" xfId="2" applyFont="1" applyFill="1" applyAlignment="1">
      <alignment horizontal="right" wrapText="1"/>
    </xf>
    <xf numFmtId="0" fontId="7" fillId="0" borderId="4"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0" fillId="0" borderId="0" xfId="2" applyFont="1" applyFill="1" applyBorder="1"/>
    <xf numFmtId="0" fontId="0" fillId="0" borderId="8" xfId="0" applyBorder="1" applyProtection="1">
      <protection locked="0"/>
    </xf>
    <xf numFmtId="0" fontId="0" fillId="23" borderId="0" xfId="0" applyFill="1" applyAlignment="1" applyProtection="1">
      <alignment horizontal="left" vertical="top"/>
      <protection locked="0"/>
    </xf>
    <xf numFmtId="0" fontId="18" fillId="23" borderId="0" xfId="0" applyFont="1" applyFill="1" applyAlignment="1">
      <alignment horizontal="left" vertical="center" wrapText="1"/>
    </xf>
    <xf numFmtId="0" fontId="12" fillId="0" borderId="14" xfId="2" applyFill="1" applyBorder="1" applyAlignment="1">
      <alignment wrapText="1"/>
    </xf>
    <xf numFmtId="0" fontId="12" fillId="0" borderId="20" xfId="2" applyFill="1" applyBorder="1" applyAlignment="1">
      <alignment wrapText="1"/>
    </xf>
    <xf numFmtId="0" fontId="7" fillId="23" borderId="13" xfId="0" applyFont="1" applyFill="1" applyBorder="1" applyAlignment="1">
      <alignment wrapText="1"/>
    </xf>
    <xf numFmtId="0" fontId="7" fillId="0" borderId="18" xfId="0" applyFont="1" applyBorder="1" applyAlignment="1">
      <alignment horizontal="left"/>
    </xf>
    <xf numFmtId="0" fontId="7" fillId="0" borderId="16" xfId="0" applyFont="1" applyBorder="1" applyAlignment="1">
      <alignment horizontal="left"/>
    </xf>
    <xf numFmtId="0" fontId="1" fillId="0" borderId="0" xfId="5" applyFont="1"/>
    <xf numFmtId="0" fontId="10" fillId="17" borderId="16" xfId="0" applyFont="1" applyFill="1" applyBorder="1" applyAlignment="1">
      <alignment horizontal="right"/>
    </xf>
    <xf numFmtId="49" fontId="18" fillId="0" borderId="0" xfId="0" applyNumberFormat="1" applyFont="1" applyAlignment="1">
      <alignment horizontal="left" vertical="center"/>
    </xf>
    <xf numFmtId="49" fontId="18" fillId="0" borderId="0" xfId="2" applyNumberFormat="1" applyFont="1" applyFill="1" applyBorder="1" applyAlignment="1">
      <alignment horizontal="left" vertical="center"/>
    </xf>
    <xf numFmtId="49" fontId="18" fillId="0" borderId="0" xfId="0" applyNumberFormat="1" applyFont="1" applyAlignment="1">
      <alignment horizontal="left" vertical="center" wrapText="1"/>
    </xf>
    <xf numFmtId="49" fontId="18" fillId="0" borderId="32" xfId="0" applyNumberFormat="1" applyFont="1" applyBorder="1" applyAlignment="1">
      <alignment horizontal="left" vertical="center"/>
    </xf>
    <xf numFmtId="0" fontId="7" fillId="0" borderId="33" xfId="0" applyFont="1" applyBorder="1" applyAlignment="1">
      <alignment horizontal="center" vertical="top"/>
    </xf>
    <xf numFmtId="0" fontId="7" fillId="0" borderId="24" xfId="0" applyFont="1" applyBorder="1" applyAlignment="1">
      <alignment horizontal="center" vertical="top" wrapText="1"/>
    </xf>
    <xf numFmtId="0" fontId="7" fillId="0" borderId="25" xfId="0" applyFont="1" applyBorder="1" applyAlignment="1">
      <alignment horizontal="center" vertical="top" wrapText="1"/>
    </xf>
    <xf numFmtId="0" fontId="7" fillId="0" borderId="24" xfId="2" applyFont="1" applyFill="1" applyBorder="1" applyAlignment="1">
      <alignment horizontal="center" vertical="top" wrapText="1"/>
    </xf>
    <xf numFmtId="0" fontId="7" fillId="0" borderId="33" xfId="2" applyFont="1" applyFill="1" applyBorder="1" applyAlignment="1">
      <alignment horizontal="center" vertical="top" wrapText="1"/>
    </xf>
    <xf numFmtId="0" fontId="7" fillId="0" borderId="25" xfId="2" applyFont="1" applyFill="1" applyBorder="1" applyAlignment="1">
      <alignment horizontal="center" vertical="top" wrapText="1"/>
    </xf>
    <xf numFmtId="0" fontId="7" fillId="0" borderId="24" xfId="0" applyFont="1" applyBorder="1" applyAlignment="1">
      <alignment horizontal="center" vertical="top"/>
    </xf>
    <xf numFmtId="0" fontId="7" fillId="0" borderId="25" xfId="0" applyFont="1" applyBorder="1" applyAlignment="1">
      <alignment horizontal="center" vertical="top"/>
    </xf>
    <xf numFmtId="0" fontId="7" fillId="0" borderId="33" xfId="0" applyFont="1" applyBorder="1" applyAlignment="1">
      <alignment horizontal="center" vertical="top" wrapText="1"/>
    </xf>
    <xf numFmtId="0" fontId="7" fillId="0" borderId="24" xfId="2" applyFont="1" applyFill="1" applyBorder="1" applyAlignment="1">
      <alignment horizontal="center" vertical="top"/>
    </xf>
    <xf numFmtId="0" fontId="7" fillId="0" borderId="25" xfId="2" applyFont="1" applyFill="1" applyBorder="1" applyAlignment="1">
      <alignment horizontal="center" vertical="top"/>
    </xf>
    <xf numFmtId="0" fontId="7" fillId="0" borderId="33" xfId="2" applyFont="1" applyFill="1" applyBorder="1" applyAlignment="1">
      <alignment horizontal="center" vertical="top"/>
    </xf>
    <xf numFmtId="0" fontId="10" fillId="0" borderId="0" xfId="0" applyFont="1" applyAlignment="1">
      <alignment horizontal="center" vertical="top"/>
    </xf>
    <xf numFmtId="0" fontId="5" fillId="0" borderId="0" xfId="5" applyFont="1" applyAlignment="1">
      <alignment horizontal="center"/>
    </xf>
    <xf numFmtId="0" fontId="18" fillId="0" borderId="7" xfId="0" applyFont="1" applyBorder="1" applyAlignment="1">
      <alignment horizontal="left"/>
    </xf>
    <xf numFmtId="0" fontId="7" fillId="0" borderId="24" xfId="0" applyFont="1" applyBorder="1" applyAlignment="1">
      <alignment horizontal="left"/>
    </xf>
    <xf numFmtId="0" fontId="18" fillId="0" borderId="10" xfId="0" applyFont="1" applyBorder="1" applyAlignment="1">
      <alignment horizontal="left"/>
    </xf>
    <xf numFmtId="0" fontId="7" fillId="0" borderId="25" xfId="0" applyFont="1" applyBorder="1" applyAlignment="1">
      <alignment horizontal="left"/>
    </xf>
    <xf numFmtId="0" fontId="9" fillId="0" borderId="25" xfId="0" applyFont="1" applyBorder="1" applyAlignment="1">
      <alignment horizontal="center"/>
    </xf>
    <xf numFmtId="0" fontId="7" fillId="0" borderId="24" xfId="0" applyFont="1" applyBorder="1" applyAlignment="1">
      <alignment horizontal="left" vertical="top"/>
    </xf>
    <xf numFmtId="0" fontId="9" fillId="0" borderId="24" xfId="0" applyFont="1" applyBorder="1" applyAlignment="1">
      <alignment horizontal="center" vertical="top"/>
    </xf>
    <xf numFmtId="0" fontId="18" fillId="0" borderId="10" xfId="0" applyFont="1" applyBorder="1" applyAlignment="1">
      <alignment horizontal="left" vertical="center" wrapText="1"/>
    </xf>
    <xf numFmtId="0" fontId="7" fillId="0" borderId="35" xfId="0" applyFont="1" applyBorder="1" applyAlignment="1">
      <alignment horizontal="left" vertical="top"/>
    </xf>
    <xf numFmtId="0" fontId="7" fillId="0" borderId="21" xfId="0" applyFont="1" applyBorder="1" applyAlignment="1">
      <alignment horizontal="left" vertical="center"/>
    </xf>
    <xf numFmtId="0" fontId="7" fillId="0" borderId="39" xfId="0" applyFont="1" applyBorder="1" applyAlignment="1">
      <alignment horizontal="left" vertical="top"/>
    </xf>
    <xf numFmtId="0" fontId="7" fillId="0" borderId="34" xfId="0" applyFont="1" applyBorder="1" applyAlignment="1">
      <alignment horizontal="left" vertical="center"/>
    </xf>
    <xf numFmtId="0" fontId="7" fillId="0" borderId="17" xfId="0" applyFont="1" applyBorder="1" applyAlignment="1">
      <alignment horizontal="left" vertical="center"/>
    </xf>
    <xf numFmtId="0" fontId="0" fillId="0" borderId="30" xfId="0" applyBorder="1" applyAlignment="1">
      <alignment horizontal="center" vertical="center" wrapText="1"/>
    </xf>
    <xf numFmtId="0" fontId="0" fillId="0" borderId="5" xfId="0" applyBorder="1" applyProtection="1">
      <protection locked="0"/>
    </xf>
    <xf numFmtId="0" fontId="7" fillId="0" borderId="0" xfId="0" applyFont="1" applyAlignment="1" applyProtection="1">
      <alignment horizontal="left" vertical="top"/>
      <protection locked="0"/>
    </xf>
    <xf numFmtId="0" fontId="7" fillId="0" borderId="0" xfId="0" applyFont="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15" xfId="0" applyFont="1" applyBorder="1" applyAlignment="1" applyProtection="1">
      <alignment horizontal="left" vertical="center" wrapText="1"/>
      <protection locked="0"/>
    </xf>
    <xf numFmtId="0" fontId="0" fillId="0" borderId="0" xfId="2" applyFont="1" applyFill="1" applyAlignment="1" applyProtection="1">
      <alignment horizontal="right"/>
      <protection locked="0"/>
    </xf>
    <xf numFmtId="2" fontId="0" fillId="0" borderId="30" xfId="0" applyNumberFormat="1" applyBorder="1" applyProtection="1">
      <protection locked="0"/>
    </xf>
    <xf numFmtId="0" fontId="7" fillId="0" borderId="15" xfId="0" applyFont="1" applyBorder="1" applyAlignment="1" applyProtection="1">
      <alignment horizontal="left" vertical="center"/>
      <protection locked="0"/>
    </xf>
    <xf numFmtId="0" fontId="0" fillId="0" borderId="0" xfId="2" quotePrefix="1" applyFont="1" applyFill="1" applyBorder="1" applyAlignment="1" applyProtection="1">
      <alignment horizontal="center"/>
      <protection locked="0"/>
    </xf>
    <xf numFmtId="0" fontId="0" fillId="0" borderId="30" xfId="2" quotePrefix="1" applyFont="1" applyFill="1" applyBorder="1" applyAlignment="1" applyProtection="1">
      <alignment horizontal="center"/>
      <protection locked="0"/>
    </xf>
    <xf numFmtId="0" fontId="0" fillId="0" borderId="0" xfId="2" quotePrefix="1" applyFont="1" applyFill="1" applyAlignment="1" applyProtection="1">
      <alignment horizontal="center"/>
      <protection locked="0"/>
    </xf>
    <xf numFmtId="0" fontId="0" fillId="0" borderId="0" xfId="0" applyAlignment="1" applyProtection="1">
      <alignment horizontal="left"/>
      <protection locked="0"/>
    </xf>
    <xf numFmtId="0" fontId="17" fillId="0" borderId="0" xfId="0" applyFont="1" applyAlignment="1">
      <alignment horizontal="center" vertical="center"/>
    </xf>
    <xf numFmtId="0" fontId="15" fillId="0" borderId="0" xfId="2" applyFont="1" applyFill="1" applyBorder="1" applyAlignment="1" applyProtection="1">
      <alignment horizontal="left" vertical="top"/>
      <protection locked="0"/>
    </xf>
    <xf numFmtId="0" fontId="0" fillId="0" borderId="0" xfId="0" applyAlignment="1" applyProtection="1">
      <alignment horizontal="center" vertical="top"/>
      <protection locked="0"/>
    </xf>
    <xf numFmtId="0" fontId="7" fillId="0" borderId="29" xfId="0" applyFont="1" applyBorder="1" applyAlignment="1">
      <alignment horizontal="left" vertical="center"/>
    </xf>
    <xf numFmtId="0" fontId="18" fillId="2" borderId="0" xfId="0" applyFont="1" applyFill="1" applyAlignment="1">
      <alignment horizontal="left" vertical="center" wrapText="1"/>
    </xf>
    <xf numFmtId="0" fontId="17" fillId="0" borderId="0" xfId="0" applyFont="1" applyAlignment="1">
      <alignment wrapText="1"/>
    </xf>
    <xf numFmtId="49" fontId="12" fillId="4" borderId="0" xfId="2" applyNumberFormat="1" applyAlignment="1">
      <alignment horizontal="left" vertical="center" wrapText="1"/>
    </xf>
    <xf numFmtId="0" fontId="0" fillId="8" borderId="0" xfId="0" applyFill="1" applyProtection="1">
      <protection locked="0"/>
    </xf>
    <xf numFmtId="0" fontId="24" fillId="0" borderId="0" xfId="0" applyFont="1" applyAlignment="1">
      <alignment wrapText="1"/>
    </xf>
    <xf numFmtId="0" fontId="0" fillId="11" borderId="0" xfId="0" applyFill="1" applyAlignment="1" applyProtection="1">
      <alignment horizontal="center"/>
      <protection locked="0"/>
    </xf>
    <xf numFmtId="0" fontId="0" fillId="11" borderId="30" xfId="0" applyFill="1" applyBorder="1" applyAlignment="1" applyProtection="1">
      <alignment horizontal="center"/>
      <protection locked="0"/>
    </xf>
    <xf numFmtId="1" fontId="0" fillId="11" borderId="30" xfId="0" applyNumberFormat="1" applyFill="1" applyBorder="1" applyAlignment="1" applyProtection="1">
      <alignment horizontal="center"/>
      <protection locked="0"/>
    </xf>
    <xf numFmtId="0" fontId="0" fillId="11" borderId="20" xfId="0" applyFill="1" applyBorder="1" applyProtection="1">
      <protection locked="0"/>
    </xf>
    <xf numFmtId="0" fontId="0" fillId="11" borderId="14" xfId="0" applyFill="1" applyBorder="1" applyProtection="1">
      <protection locked="0"/>
    </xf>
    <xf numFmtId="0" fontId="0" fillId="11" borderId="30" xfId="0" applyFill="1" applyBorder="1" applyProtection="1">
      <protection locked="0"/>
    </xf>
    <xf numFmtId="0" fontId="0" fillId="11" borderId="29" xfId="0" applyFill="1" applyBorder="1" applyProtection="1">
      <protection locked="0"/>
    </xf>
    <xf numFmtId="0" fontId="12" fillId="4" borderId="20" xfId="2" quotePrefix="1" applyBorder="1" applyAlignment="1">
      <alignment wrapText="1"/>
    </xf>
    <xf numFmtId="0" fontId="13" fillId="6" borderId="0" xfId="3" applyAlignment="1">
      <alignment wrapText="1"/>
    </xf>
    <xf numFmtId="18" fontId="7" fillId="0" borderId="0" xfId="0" applyNumberFormat="1" applyFont="1" applyAlignment="1">
      <alignment horizontal="left" vertical="center"/>
    </xf>
    <xf numFmtId="0" fontId="0" fillId="2" borderId="0" xfId="0" applyFill="1" applyAlignment="1" applyProtection="1">
      <alignment horizontal="center"/>
      <protection locked="0"/>
    </xf>
    <xf numFmtId="0" fontId="0" fillId="2" borderId="30" xfId="0" applyFill="1" applyBorder="1" applyAlignment="1" applyProtection="1">
      <alignment horizontal="center"/>
      <protection locked="0"/>
    </xf>
    <xf numFmtId="0" fontId="0" fillId="2" borderId="20" xfId="0" applyFill="1" applyBorder="1" applyProtection="1">
      <protection locked="0"/>
    </xf>
    <xf numFmtId="0" fontId="0" fillId="2" borderId="14" xfId="0" applyFill="1" applyBorder="1" applyProtection="1">
      <protection locked="0"/>
    </xf>
    <xf numFmtId="0" fontId="0" fillId="0" borderId="0" xfId="0" applyAlignment="1">
      <alignment horizontal="center"/>
    </xf>
    <xf numFmtId="0" fontId="24" fillId="0" borderId="0" xfId="0" applyFont="1" applyAlignment="1">
      <alignment horizontal="center" vertical="center" wrapText="1"/>
    </xf>
    <xf numFmtId="0" fontId="0" fillId="0" borderId="0" xfId="2" applyFont="1" applyFill="1" applyBorder="1" applyAlignment="1" applyProtection="1">
      <alignment horizontal="center" vertical="top"/>
      <protection locked="0"/>
    </xf>
    <xf numFmtId="0" fontId="0" fillId="0" borderId="0" xfId="2" applyFont="1" applyFill="1" applyBorder="1" applyAlignment="1" applyProtection="1">
      <alignment horizontal="center" vertical="top" wrapText="1"/>
      <protection locked="0"/>
    </xf>
    <xf numFmtId="0" fontId="7" fillId="0" borderId="0" xfId="2" applyFont="1" applyFill="1"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4" xfId="0" applyFont="1" applyBorder="1" applyAlignment="1" applyProtection="1">
      <alignment horizontal="center" vertical="top" wrapText="1"/>
      <protection locked="0"/>
    </xf>
    <xf numFmtId="0" fontId="7" fillId="0" borderId="0" xfId="0" applyFont="1" applyAlignment="1" applyProtection="1">
      <alignment horizontal="center" vertical="top"/>
      <protection locked="0"/>
    </xf>
    <xf numFmtId="0" fontId="7" fillId="0" borderId="35" xfId="0" applyFont="1" applyBorder="1" applyAlignment="1">
      <alignment horizontal="center" vertical="center"/>
    </xf>
    <xf numFmtId="0" fontId="7" fillId="0" borderId="0" xfId="0" applyFont="1" applyAlignment="1">
      <alignment horizontal="center" vertical="center"/>
    </xf>
    <xf numFmtId="0" fontId="0" fillId="0" borderId="35" xfId="0" applyBorder="1" applyAlignment="1" applyProtection="1">
      <alignment horizontal="center" vertical="top"/>
      <protection locked="0"/>
    </xf>
    <xf numFmtId="0" fontId="7" fillId="0" borderId="33" xfId="0" applyFont="1" applyBorder="1" applyAlignment="1">
      <alignment horizontal="center" vertical="center"/>
    </xf>
    <xf numFmtId="0" fontId="18" fillId="2" borderId="0" xfId="0" applyFont="1" applyFill="1" applyAlignment="1">
      <alignment horizontal="left" vertical="center"/>
    </xf>
    <xf numFmtId="0" fontId="24" fillId="2" borderId="0" xfId="0" applyFont="1" applyFill="1" applyAlignment="1">
      <alignment wrapText="1"/>
    </xf>
    <xf numFmtId="0" fontId="18" fillId="2" borderId="0" xfId="0" applyFont="1" applyFill="1" applyAlignment="1">
      <alignment horizontal="center" vertical="center"/>
    </xf>
    <xf numFmtId="0" fontId="7" fillId="2" borderId="33" xfId="0" applyFont="1" applyFill="1" applyBorder="1" applyAlignment="1">
      <alignment horizontal="center" vertical="top"/>
    </xf>
    <xf numFmtId="0" fontId="7" fillId="2" borderId="33" xfId="0" applyFont="1" applyFill="1" applyBorder="1" applyAlignment="1">
      <alignment horizontal="left" vertical="center"/>
    </xf>
    <xf numFmtId="0" fontId="7" fillId="2" borderId="33" xfId="0" applyFont="1" applyFill="1" applyBorder="1" applyAlignment="1">
      <alignment horizontal="left" vertical="top"/>
    </xf>
    <xf numFmtId="0" fontId="1" fillId="2" borderId="0" xfId="5" applyFont="1" applyFill="1"/>
    <xf numFmtId="0" fontId="0" fillId="2" borderId="0" xfId="0" applyFill="1" applyAlignment="1" applyProtection="1">
      <alignment horizontal="center" vertical="top"/>
      <protection locked="0"/>
    </xf>
    <xf numFmtId="0" fontId="0" fillId="2" borderId="0" xfId="0" applyFill="1" applyAlignment="1" applyProtection="1">
      <alignment horizontal="left" vertical="top"/>
      <protection locked="0"/>
    </xf>
    <xf numFmtId="0" fontId="18" fillId="2" borderId="0" xfId="2" applyFont="1" applyFill="1" applyBorder="1" applyAlignment="1">
      <alignment horizontal="center" vertical="center" wrapText="1"/>
    </xf>
    <xf numFmtId="0" fontId="0" fillId="2" borderId="29" xfId="0" applyFill="1" applyBorder="1" applyProtection="1">
      <protection locked="0"/>
    </xf>
    <xf numFmtId="0" fontId="0" fillId="2" borderId="30" xfId="0" applyFill="1" applyBorder="1" applyProtection="1">
      <protection locked="0"/>
    </xf>
    <xf numFmtId="0" fontId="7" fillId="2" borderId="13" xfId="0" applyFont="1" applyFill="1" applyBorder="1" applyAlignment="1">
      <alignment wrapText="1"/>
    </xf>
    <xf numFmtId="0" fontId="14" fillId="2" borderId="14" xfId="4" applyFill="1" applyBorder="1" applyAlignment="1">
      <alignment wrapText="1"/>
    </xf>
    <xf numFmtId="0" fontId="14" fillId="2" borderId="20" xfId="4" applyFill="1" applyBorder="1" applyAlignment="1">
      <alignment wrapText="1"/>
    </xf>
    <xf numFmtId="0" fontId="12" fillId="2" borderId="14" xfId="2" applyFill="1" applyBorder="1" applyAlignment="1">
      <alignment wrapText="1"/>
    </xf>
    <xf numFmtId="0" fontId="12" fillId="2" borderId="20" xfId="2" applyFill="1" applyBorder="1" applyAlignment="1">
      <alignment wrapText="1"/>
    </xf>
    <xf numFmtId="0" fontId="12" fillId="2" borderId="0" xfId="2" applyFill="1" applyAlignment="1">
      <alignment wrapText="1"/>
    </xf>
    <xf numFmtId="0" fontId="18" fillId="2" borderId="6" xfId="2" applyFont="1" applyFill="1" applyBorder="1" applyAlignment="1">
      <alignment horizontal="center" vertical="center" wrapText="1"/>
    </xf>
    <xf numFmtId="0" fontId="0" fillId="2" borderId="15" xfId="0" applyFill="1" applyBorder="1" applyAlignment="1" applyProtection="1">
      <alignment horizontal="left" vertical="top"/>
      <protection locked="0"/>
    </xf>
    <xf numFmtId="0" fontId="0" fillId="2" borderId="0" xfId="0" applyFill="1" applyAlignment="1">
      <alignment horizontal="center"/>
    </xf>
    <xf numFmtId="0" fontId="12" fillId="4" borderId="30" xfId="2" applyBorder="1" applyAlignment="1">
      <alignment wrapText="1"/>
    </xf>
    <xf numFmtId="0" fontId="10" fillId="2" borderId="7" xfId="0" applyFont="1" applyFill="1" applyBorder="1" applyAlignment="1">
      <alignment horizontal="center" wrapText="1"/>
    </xf>
    <xf numFmtId="0" fontId="10" fillId="2" borderId="8" xfId="0" applyFont="1" applyFill="1" applyBorder="1" applyAlignment="1">
      <alignment horizontal="center" wrapText="1"/>
    </xf>
    <xf numFmtId="0" fontId="7" fillId="0" borderId="24" xfId="0" applyFont="1" applyBorder="1" applyAlignment="1">
      <alignment horizontal="center" vertical="top" wrapText="1"/>
    </xf>
    <xf numFmtId="0" fontId="7" fillId="0" borderId="25" xfId="0" applyFont="1" applyBorder="1" applyAlignment="1">
      <alignment horizontal="center" vertical="top" wrapText="1"/>
    </xf>
    <xf numFmtId="0" fontId="7" fillId="0" borderId="24" xfId="2" applyFont="1" applyFill="1" applyBorder="1" applyAlignment="1">
      <alignment horizontal="center" vertical="top" wrapText="1"/>
    </xf>
    <xf numFmtId="0" fontId="7" fillId="0" borderId="25" xfId="2" applyFont="1" applyFill="1" applyBorder="1" applyAlignment="1">
      <alignment horizontal="center" vertical="top" wrapText="1"/>
    </xf>
    <xf numFmtId="0" fontId="7" fillId="0" borderId="33" xfId="2" applyFont="1" applyFill="1" applyBorder="1" applyAlignment="1">
      <alignment horizontal="center" vertical="top"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4" xfId="2" applyFont="1" applyFill="1" applyBorder="1" applyAlignment="1">
      <alignment horizontal="center" vertical="top"/>
    </xf>
    <xf numFmtId="0" fontId="7" fillId="0" borderId="25" xfId="2" applyFont="1" applyFill="1" applyBorder="1" applyAlignment="1">
      <alignment horizontal="center" vertical="top"/>
    </xf>
    <xf numFmtId="0" fontId="7" fillId="0" borderId="33" xfId="2" applyFont="1" applyFill="1" applyBorder="1" applyAlignment="1">
      <alignment horizontal="center" vertical="top"/>
    </xf>
    <xf numFmtId="0" fontId="7" fillId="0" borderId="24" xfId="0" applyFont="1" applyBorder="1" applyAlignment="1">
      <alignment horizontal="center" vertical="top"/>
    </xf>
    <xf numFmtId="0" fontId="7" fillId="0" borderId="33" xfId="0" applyFont="1" applyBorder="1" applyAlignment="1">
      <alignment horizontal="center" vertical="top"/>
    </xf>
    <xf numFmtId="0" fontId="7" fillId="0" borderId="25" xfId="0" applyFont="1" applyBorder="1" applyAlignment="1">
      <alignment horizontal="center" vertical="top"/>
    </xf>
    <xf numFmtId="0" fontId="7" fillId="0" borderId="33" xfId="0" applyFont="1" applyBorder="1" applyAlignment="1">
      <alignment horizontal="center" vertical="top" wrapText="1"/>
    </xf>
    <xf numFmtId="0" fontId="24" fillId="0" borderId="0" xfId="0" applyFont="1" applyBorder="1" applyAlignment="1">
      <alignment wrapText="1"/>
    </xf>
  </cellXfs>
  <cellStyles count="7">
    <cellStyle name="Bad" xfId="3" builtinId="27"/>
    <cellStyle name="Excel Built-in Normal" xfId="1" xr:uid="{00000000-0005-0000-0000-000001000000}"/>
    <cellStyle name="Good" xfId="2" builtinId="26"/>
    <cellStyle name="Neutral" xfId="4" builtinId="28"/>
    <cellStyle name="Normal" xfId="0" builtinId="0"/>
    <cellStyle name="Normal 2" xfId="5" xr:uid="{47733AC5-F6CA-4948-B135-15CE1F661DAC}"/>
    <cellStyle name="Normal 2 2" xfId="6" xr:uid="{7310C277-B716-4CF1-A7D0-132D3B971377}"/>
  </cellStyles>
  <dxfs count="2">
    <dxf>
      <font>
        <color rgb="FF9C5700"/>
      </font>
      <fill>
        <patternFill>
          <bgColor rgb="FFFFEB9C"/>
        </patternFill>
      </fill>
    </dxf>
    <dxf>
      <font>
        <color rgb="FF9C5700"/>
      </font>
      <fill>
        <patternFill>
          <bgColor rgb="FFFFEB9C"/>
        </patternFill>
      </fill>
    </dxf>
  </dxfs>
  <tableStyles count="0" defaultTableStyle="TableStyleMedium9"/>
  <colors>
    <mruColors>
      <color rgb="FF66FF66"/>
      <color rgb="FFC6EFCE"/>
      <color rgb="FFFFC7CE"/>
      <color rgb="FFFFEB9C"/>
      <color rgb="FFFF0000"/>
      <color rgb="FF9C0006"/>
      <color rgb="FF9C6500"/>
      <color rgb="FF006100"/>
      <color rgb="FF99F5AD"/>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menscollegehospital-my.sharepoint.com/personal/aaron_drucker_wchospital_ca/Documents/Atopic%20Dermatitis/Systemic%20Tx%20NMA/AD-NMA-2021-06-30_D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UDIES"/>
      <sheetName val="ARMS"/>
      <sheetName val="OUTCOMES"/>
      <sheetName val="TreatmentCodes"/>
      <sheetName val="OutcomeCodes"/>
      <sheetName val="ROB"/>
      <sheetName val="DataDic"/>
      <sheetName val="Hoja1"/>
      <sheetName val="OutcomeCodes_OLD"/>
    </sheetNames>
    <sheetDataSet>
      <sheetData sheetId="0">
        <row r="2">
          <cell r="A2" t="str">
            <v>Beck USA 2014</v>
          </cell>
        </row>
        <row r="3">
          <cell r="A3" t="str">
            <v>Bemanian Iran 2005</v>
          </cell>
        </row>
        <row r="4">
          <cell r="A4" t="str">
            <v>Berth Jones UK 2002</v>
          </cell>
        </row>
        <row r="5">
          <cell r="A5" t="str">
            <v xml:space="preserve">Blauvelt USA 2017 </v>
          </cell>
        </row>
        <row r="6">
          <cell r="A6" t="str">
            <v>Blauvelt USA 2018</v>
          </cell>
        </row>
        <row r="7">
          <cell r="A7" t="str">
            <v>Chan UK 2020</v>
          </cell>
        </row>
        <row r="8">
          <cell r="A8" t="str">
            <v>Czech Germany 2000</v>
          </cell>
        </row>
        <row r="9">
          <cell r="A9" t="str">
            <v xml:space="preserve">de Bruin-Weller Netherlands 2018 </v>
          </cell>
        </row>
        <row r="10">
          <cell r="A10" t="str">
            <v>El-Khalawany Egypt 2013</v>
          </cell>
        </row>
        <row r="11">
          <cell r="A11" t="str">
            <v>Gooderham Canada 2019; NCT02780167; Abrocitinib (PF-04965842)</v>
          </cell>
        </row>
        <row r="12">
          <cell r="A12" t="str">
            <v>Goujon France 2017</v>
          </cell>
        </row>
        <row r="13">
          <cell r="A13" t="str">
            <v>Granlund Finland 2001</v>
          </cell>
        </row>
        <row r="14">
          <cell r="A14" t="str">
            <v>Guttman-Yassky USA 2018 Baricitinib</v>
          </cell>
        </row>
        <row r="15">
          <cell r="A15" t="str">
            <v>Guttman-Yassky USA 2018 Fezakinumab</v>
          </cell>
        </row>
        <row r="16">
          <cell r="A16" t="str">
            <v>Guttman-Yassky USA 2019 Dupilumab</v>
          </cell>
        </row>
        <row r="17">
          <cell r="A17" t="str">
            <v>Guttman-Yassky USA 2019 GBR 830</v>
          </cell>
        </row>
        <row r="18">
          <cell r="A18" t="str">
            <v>Guttman-Yassky USA 2019 Upadacitinib</v>
          </cell>
        </row>
        <row r="19">
          <cell r="A19" t="str">
            <v>Guttman-Yassky USA 2020 Lebrikizumab</v>
          </cell>
        </row>
        <row r="20">
          <cell r="A20" t="str">
            <v>Hanifin USA 1993</v>
          </cell>
        </row>
        <row r="21">
          <cell r="A21" t="str">
            <v>Iyengar USA 2013</v>
          </cell>
        </row>
        <row r="22">
          <cell r="A22" t="str">
            <v>Jang Korea 2000</v>
          </cell>
        </row>
        <row r="23">
          <cell r="A23" t="str">
            <v>Jee Korea 2011</v>
          </cell>
        </row>
        <row r="24">
          <cell r="A24" t="str">
            <v>Kabashima Japan 2020</v>
          </cell>
        </row>
        <row r="25">
          <cell r="A25" t="str">
            <v>Khattri USA 2017</v>
          </cell>
        </row>
        <row r="26">
          <cell r="A26" t="str">
            <v>Meggitt UK 2006</v>
          </cell>
        </row>
        <row r="27">
          <cell r="A27" t="str">
            <v>Munro UK 1994</v>
          </cell>
        </row>
        <row r="28">
          <cell r="A28" t="str">
            <v>NCT01785602; Fevipiprant (QAW039)</v>
          </cell>
        </row>
        <row r="29">
          <cell r="A29" t="str">
            <v>Pacor Italy 2004</v>
          </cell>
        </row>
        <row r="30">
          <cell r="A30" t="str">
            <v>Paller USA 2020 Dupilumab</v>
          </cell>
        </row>
        <row r="31">
          <cell r="A31" t="str">
            <v>Reich Germany 2020 (BREEZE-AD7)</v>
          </cell>
        </row>
        <row r="32">
          <cell r="A32" t="str">
            <v>Ruzicka Germany 2017</v>
          </cell>
        </row>
        <row r="33">
          <cell r="A33" t="str">
            <v>Saeki Japan 2017</v>
          </cell>
        </row>
        <row r="34">
          <cell r="A34" t="str">
            <v>Schram Holland 2011</v>
          </cell>
        </row>
        <row r="35">
          <cell r="A35" t="str">
            <v>Silverberg USA 2019 Nemolizumab</v>
          </cell>
        </row>
        <row r="36">
          <cell r="A36" t="str">
            <v>Silverberg USA 2020 (ECZTRA3)</v>
          </cell>
        </row>
        <row r="37">
          <cell r="A37" t="str">
            <v>Simpson 2020 BREEZE-AD1</v>
          </cell>
        </row>
        <row r="38">
          <cell r="A38" t="str">
            <v>Simpson 2020 BREEZE-AD2</v>
          </cell>
        </row>
        <row r="39">
          <cell r="A39" t="str">
            <v xml:space="preserve">Simpson USA 2016 SOLO1 </v>
          </cell>
        </row>
        <row r="40">
          <cell r="A40" t="str">
            <v>Simpson USA 2016 SOLO2</v>
          </cell>
        </row>
        <row r="41">
          <cell r="A41" t="str">
            <v>Simpson USA 2018 Apremilast</v>
          </cell>
        </row>
        <row r="42">
          <cell r="A42" t="str">
            <v>Simpson USA 2018 Lebrikizumab</v>
          </cell>
        </row>
        <row r="43">
          <cell r="A43" t="str">
            <v>Simpson USA 2019 Tezepelumab</v>
          </cell>
        </row>
        <row r="44">
          <cell r="A44" t="str">
            <v>Simpson USA 2020 Abrocitinib/ NCT03349060</v>
          </cell>
        </row>
        <row r="45">
          <cell r="A45" t="str">
            <v>Simpson USA 2020 Dupilumab adolescent</v>
          </cell>
        </row>
        <row r="46">
          <cell r="A46" t="str">
            <v>Sowden UK 1991</v>
          </cell>
        </row>
        <row r="47">
          <cell r="A47" t="str">
            <v>Thaci Germany 2015</v>
          </cell>
        </row>
        <row r="48">
          <cell r="A48" t="str">
            <v>Werfel Germany 2018</v>
          </cell>
        </row>
        <row r="49">
          <cell r="A49" t="str">
            <v>Wollenberg Germany 2020 (ECZTRA1)</v>
          </cell>
        </row>
        <row r="50">
          <cell r="A50" t="str">
            <v>Wollenberg Germany 2020 (ECZTRA2)</v>
          </cell>
        </row>
        <row r="51">
          <cell r="A51" t="str">
            <v>Wollenberg USA 2018</v>
          </cell>
        </row>
        <row r="52">
          <cell r="A52" t="str">
            <v>Simpson 2021 (BREEZE-AD5)</v>
          </cell>
        </row>
        <row r="53">
          <cell r="A53" t="str">
            <v>NCT03428100 (BREEZE-AD4)</v>
          </cell>
        </row>
        <row r="54">
          <cell r="A54" t="str">
            <v>Bieber Germany 2021 (JADE COMPARE)</v>
          </cell>
        </row>
        <row r="55">
          <cell r="A55" t="str">
            <v>Silverberg USA 2020 (JADE MONO-2)</v>
          </cell>
        </row>
        <row r="56">
          <cell r="A56" t="str">
            <v>NCT03912259</v>
          </cell>
        </row>
        <row r="57">
          <cell r="A57" t="str">
            <v>NCT03796676 (JADE TEEN)</v>
          </cell>
        </row>
        <row r="58">
          <cell r="A58" t="str">
            <v>Guttman USA 2021 (MEASURE UP 1)</v>
          </cell>
        </row>
        <row r="59">
          <cell r="A59" t="str">
            <v>Guttman USA 2021 (MEASURE UP 2)</v>
          </cell>
        </row>
        <row r="60">
          <cell r="A60" t="str">
            <v>Reich Germany 2021 (AD Up)</v>
          </cell>
        </row>
        <row r="61">
          <cell r="A61" t="str">
            <v>Merola USA 2021 (ECZTRA5)</v>
          </cell>
        </row>
      </sheetData>
      <sheetData sheetId="1" refreshError="1"/>
      <sheetData sheetId="2"/>
      <sheetData sheetId="3">
        <row r="2">
          <cell r="A2" t="str">
            <v>Placebo</v>
          </cell>
        </row>
        <row r="3">
          <cell r="A3" t="str">
            <v>Abrocitinib_100mg_OD</v>
          </cell>
        </row>
        <row r="4">
          <cell r="A4" t="str">
            <v>Abrocitinib_10mg_OD</v>
          </cell>
        </row>
        <row r="5">
          <cell r="A5" t="str">
            <v>Abrocitinib_200mg_OD</v>
          </cell>
        </row>
        <row r="6">
          <cell r="A6" t="str">
            <v>Abrocitinib_30mg_OD</v>
          </cell>
        </row>
        <row r="7">
          <cell r="A7" t="str">
            <v>Apremilast_30mg_BID</v>
          </cell>
        </row>
        <row r="8">
          <cell r="A8" t="str">
            <v>Apremilast_40mg_BID</v>
          </cell>
        </row>
        <row r="9">
          <cell r="A9" t="str">
            <v>Azathioprine_15_25_OD</v>
          </cell>
        </row>
        <row r="10">
          <cell r="A10" t="str">
            <v>Azathioprine_25_OD</v>
          </cell>
        </row>
        <row r="11">
          <cell r="A11" t="str">
            <v>Azathioprine_TPMT</v>
          </cell>
        </row>
        <row r="12">
          <cell r="A12" t="str">
            <v>Baricitinib_1mg_OD</v>
          </cell>
        </row>
        <row r="13">
          <cell r="A13" t="str">
            <v>Baricitinib_2mg_OD</v>
          </cell>
        </row>
        <row r="14">
          <cell r="A14" t="str">
            <v>Baricitinib_4mg_OD</v>
          </cell>
        </row>
        <row r="15">
          <cell r="A15" t="str">
            <v>Cyclosporine_150mg_OD</v>
          </cell>
        </row>
        <row r="16">
          <cell r="A16" t="str">
            <v>Cyclosporine_25mg_OD</v>
          </cell>
        </row>
        <row r="17">
          <cell r="A17" t="str">
            <v>Cyclosporine_300mg_OD</v>
          </cell>
        </row>
        <row r="18">
          <cell r="A18" t="str">
            <v>Cyclosporine_3mg_OD</v>
          </cell>
        </row>
        <row r="19">
          <cell r="A19" t="str">
            <v>Cyclosporine_4mg_OD</v>
          </cell>
        </row>
        <row r="20">
          <cell r="A20" t="str">
            <v>Cyclosporine_5mg_OD</v>
          </cell>
        </row>
        <row r="21">
          <cell r="A21" t="str">
            <v>Dupilumab_200mg_100mg_q2w_400mg_200mg_q2w</v>
          </cell>
        </row>
        <row r="22">
          <cell r="A22" t="str">
            <v>Dupilumab_300mg_q1w</v>
          </cell>
        </row>
        <row r="23">
          <cell r="A23" t="str">
            <v>Dupilumab_400mg_100mg_q4w</v>
          </cell>
        </row>
        <row r="24">
          <cell r="A24" t="str">
            <v>Dupilumab_400mg_200mg_q1w</v>
          </cell>
        </row>
        <row r="25">
          <cell r="A25" t="str">
            <v>Dupilumab_400mg_200mg_q2w</v>
          </cell>
        </row>
        <row r="26">
          <cell r="A26" t="str">
            <v>Dupilumab_600mg_300mg_q1w</v>
          </cell>
        </row>
        <row r="27">
          <cell r="A27" t="str">
            <v>Dupilumab_600mg_300mg_q2w</v>
          </cell>
        </row>
        <row r="28">
          <cell r="A28" t="str">
            <v>Dupilumab_600mg_300mg_q2w_400mg_200mg_q2w</v>
          </cell>
        </row>
        <row r="29">
          <cell r="A29" t="str">
            <v>Dupilumab_600mg_300mg_q4w</v>
          </cell>
        </row>
        <row r="30">
          <cell r="A30" t="str">
            <v>Fevipiprant_450mg_OD</v>
          </cell>
        </row>
        <row r="31">
          <cell r="A31" t="str">
            <v>Fezakinumab_300mg_q2w</v>
          </cell>
        </row>
        <row r="32">
          <cell r="A32" t="str">
            <v>Fezakinumab_600mg_300mg_q2w</v>
          </cell>
        </row>
        <row r="33">
          <cell r="A33" t="str">
            <v>GBR_830</v>
          </cell>
        </row>
        <row r="34">
          <cell r="A34" t="str">
            <v>INF_Y_05_106_3xw</v>
          </cell>
        </row>
        <row r="35">
          <cell r="A35" t="str">
            <v>INF_Y_15_106_3xw</v>
          </cell>
        </row>
        <row r="36">
          <cell r="A36" t="str">
            <v>INF_Y_50_OD</v>
          </cell>
        </row>
        <row r="37">
          <cell r="A37" t="str">
            <v>IVIG_2g_1x</v>
          </cell>
        </row>
        <row r="38">
          <cell r="A38" t="str">
            <v>IVIG_2g_monthly</v>
          </cell>
        </row>
        <row r="39">
          <cell r="A39" t="str">
            <v>Lebrikizumab_125mg_1x</v>
          </cell>
        </row>
        <row r="40">
          <cell r="A40" t="str">
            <v>Lebrikizumab_125mg_q4w</v>
          </cell>
        </row>
        <row r="41">
          <cell r="A41" t="str">
            <v>Lebrikizumab_250mg_125mg_q4w</v>
          </cell>
        </row>
        <row r="42">
          <cell r="A42" t="str">
            <v>Lebrikizumab_250mg_1x</v>
          </cell>
        </row>
        <row r="43">
          <cell r="A43" t="str">
            <v>Lebrikizumab_500mg_250mg_q2w</v>
          </cell>
        </row>
        <row r="44">
          <cell r="A44" t="str">
            <v>Lebrikizumab_500mg_250mg_q4w</v>
          </cell>
        </row>
        <row r="45">
          <cell r="A45" t="str">
            <v>Methotrexate_10_225mg_q1w</v>
          </cell>
        </row>
        <row r="46">
          <cell r="A46" t="str">
            <v>Methotrexate_15mg_q1w</v>
          </cell>
        </row>
        <row r="47">
          <cell r="A47" t="str">
            <v>Methotrexate_5mg_75mg_q1w</v>
          </cell>
        </row>
        <row r="48">
          <cell r="A48" t="str">
            <v>Nemolizumab_01mg_q4w</v>
          </cell>
        </row>
        <row r="49">
          <cell r="A49" t="str">
            <v>Nemolizumab_05mg_q4w</v>
          </cell>
        </row>
        <row r="50">
          <cell r="A50" t="str">
            <v>Nemolizumab_20mg_10mg_q4w</v>
          </cell>
        </row>
        <row r="51">
          <cell r="A51" t="str">
            <v>Nemolizumab_2mg_q4w</v>
          </cell>
        </row>
        <row r="52">
          <cell r="A52" t="str">
            <v>Nemolizumab_2mg_q8w</v>
          </cell>
        </row>
        <row r="53">
          <cell r="A53" t="str">
            <v>Nemolizumab_60mg_30mg_q4w</v>
          </cell>
        </row>
        <row r="54">
          <cell r="A54" t="str">
            <v>Nemolizumab_60mg_30mg_q4w</v>
          </cell>
        </row>
        <row r="55">
          <cell r="A55" t="str">
            <v>Nemolizumab_60mg_q4w</v>
          </cell>
        </row>
        <row r="56">
          <cell r="A56" t="str">
            <v>Nemolizumab_90mg_90mg_q4w</v>
          </cell>
        </row>
        <row r="57">
          <cell r="A57" t="str">
            <v>Omalizumab_150_375mg_q2_4w</v>
          </cell>
        </row>
        <row r="58">
          <cell r="A58" t="str">
            <v>Omalizumab_wt_based</v>
          </cell>
        </row>
        <row r="59">
          <cell r="A59" t="str">
            <v>Tacrolimus_01_BID</v>
          </cell>
        </row>
        <row r="60">
          <cell r="A60" t="str">
            <v>Tezepelumab_280mg_q2w</v>
          </cell>
        </row>
        <row r="61">
          <cell r="A61" t="str">
            <v>Tralokinumab_150mg_q2w</v>
          </cell>
        </row>
        <row r="62">
          <cell r="A62" t="str">
            <v>Tralokinumab_300mg_q2w</v>
          </cell>
        </row>
        <row r="63">
          <cell r="A63" t="str">
            <v>Tralokinumab_45mg_q2w</v>
          </cell>
        </row>
        <row r="64">
          <cell r="A64" t="str">
            <v>Tralokinumab_600mg_300mg_q2w</v>
          </cell>
        </row>
        <row r="65">
          <cell r="A65" t="str">
            <v>Upadacitinib_15mg_OD</v>
          </cell>
        </row>
        <row r="66">
          <cell r="A66" t="str">
            <v>Upadacitinib_30mg_OD</v>
          </cell>
        </row>
        <row r="67">
          <cell r="A67" t="str">
            <v>Upadacitinib_75mg_OD</v>
          </cell>
        </row>
        <row r="68">
          <cell r="A68" t="str">
            <v>Ustekinumab_45_90mg_3x</v>
          </cell>
        </row>
        <row r="69">
          <cell r="A69" t="str">
            <v>Ustekinumab_45mg_2x</v>
          </cell>
        </row>
        <row r="70">
          <cell r="A70" t="str">
            <v>Ustekinumab_90mg_2x</v>
          </cell>
        </row>
        <row r="71">
          <cell r="A71" t="str">
            <v>UVAB_Phototherapy</v>
          </cell>
        </row>
        <row r="72">
          <cell r="A72" t="str">
            <v>ZPL3893787_30mg_OD</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E2142-D0F6-734E-A24E-B82D0EE8F1F9}">
  <sheetPr>
    <pageSetUpPr fitToPage="1"/>
  </sheetPr>
  <dimension ref="A1:Z715"/>
  <sheetViews>
    <sheetView tabSelected="1" topLeftCell="O1" zoomScale="78" zoomScaleNormal="78" zoomScaleSheetLayoutView="76" workbookViewId="0">
      <pane ySplit="2" topLeftCell="A3" activePane="bottomLeft" state="frozen"/>
      <selection pane="bottomLeft" activeCell="Z9" sqref="Z9"/>
    </sheetView>
  </sheetViews>
  <sheetFormatPr defaultColWidth="11.453125" defaultRowHeight="14" x14ac:dyDescent="0.3"/>
  <cols>
    <col min="1" max="1" width="63.453125" style="116" customWidth="1"/>
    <col min="2" max="2" width="30.453125" style="191" customWidth="1"/>
    <col min="3" max="6" width="15.453125" style="116" customWidth="1"/>
    <col min="7" max="7" width="15.453125" style="193" customWidth="1"/>
    <col min="8" max="8" width="15.453125" style="116" customWidth="1"/>
    <col min="9" max="9" width="6.1796875" style="116" customWidth="1"/>
    <col min="10" max="10" width="6.453125" style="193" customWidth="1"/>
    <col min="11" max="11" width="5.1796875" style="193" customWidth="1"/>
    <col min="12" max="12" width="15.453125" style="193" customWidth="1"/>
    <col min="13" max="14" width="15.453125" style="116" customWidth="1"/>
    <col min="15" max="16" width="15.453125" style="193" customWidth="1"/>
    <col min="17" max="23" width="17.453125" style="220" customWidth="1"/>
    <col min="24" max="25" width="11.453125" style="389"/>
    <col min="26" max="16384" width="11.453125" style="116"/>
  </cols>
  <sheetData>
    <row r="1" spans="1:26" x14ac:dyDescent="0.3">
      <c r="O1" s="116" t="s">
        <v>2248</v>
      </c>
      <c r="Q1" s="507"/>
      <c r="R1" s="507"/>
      <c r="S1" s="507"/>
      <c r="T1" s="507"/>
      <c r="U1" s="507"/>
      <c r="V1" s="507"/>
      <c r="W1" s="507"/>
    </row>
    <row r="2" spans="1:26" ht="20.149999999999999" customHeight="1" thickBot="1" x14ac:dyDescent="0.35">
      <c r="A2" s="115" t="s">
        <v>904</v>
      </c>
      <c r="B2" s="438" t="s">
        <v>943</v>
      </c>
      <c r="C2" s="115" t="s">
        <v>942</v>
      </c>
      <c r="D2" s="115" t="s">
        <v>944</v>
      </c>
      <c r="E2" s="115" t="s">
        <v>981</v>
      </c>
      <c r="F2" s="115" t="s">
        <v>954</v>
      </c>
      <c r="G2" s="433" t="s">
        <v>1640</v>
      </c>
      <c r="H2" s="115" t="s">
        <v>946</v>
      </c>
      <c r="I2" s="115" t="s">
        <v>947</v>
      </c>
      <c r="J2" s="115" t="s">
        <v>948</v>
      </c>
      <c r="K2" s="115" t="s">
        <v>949</v>
      </c>
      <c r="L2" s="115" t="s">
        <v>950</v>
      </c>
      <c r="M2" s="115" t="s">
        <v>951</v>
      </c>
      <c r="N2" s="115" t="s">
        <v>952</v>
      </c>
      <c r="O2" s="115" t="s">
        <v>953</v>
      </c>
      <c r="P2" s="115" t="s">
        <v>955</v>
      </c>
      <c r="Q2" s="115" t="s">
        <v>956</v>
      </c>
      <c r="R2" s="115" t="s">
        <v>957</v>
      </c>
      <c r="S2" s="115" t="s">
        <v>958</v>
      </c>
      <c r="T2" s="115" t="s">
        <v>959</v>
      </c>
      <c r="U2" s="115" t="s">
        <v>960</v>
      </c>
      <c r="V2" s="115" t="s">
        <v>961</v>
      </c>
      <c r="W2" s="115" t="s">
        <v>962</v>
      </c>
      <c r="X2" s="389" t="s">
        <v>1423</v>
      </c>
      <c r="Y2" s="389" t="s">
        <v>1424</v>
      </c>
      <c r="Z2" s="116" t="s">
        <v>1639</v>
      </c>
    </row>
    <row r="3" spans="1:26" s="124" customFormat="1" ht="28" customHeight="1" thickBot="1" x14ac:dyDescent="0.35">
      <c r="A3" s="117" t="s">
        <v>408</v>
      </c>
      <c r="B3" s="117" t="s">
        <v>74</v>
      </c>
      <c r="C3" s="117" t="s">
        <v>77</v>
      </c>
      <c r="D3" s="118" t="s">
        <v>309</v>
      </c>
      <c r="E3" s="118"/>
      <c r="F3" s="118" t="s">
        <v>125</v>
      </c>
      <c r="G3" s="118" t="s">
        <v>1641</v>
      </c>
      <c r="H3" s="118" t="s">
        <v>126</v>
      </c>
      <c r="I3" s="119" t="s">
        <v>13</v>
      </c>
      <c r="J3" s="120" t="s">
        <v>15</v>
      </c>
      <c r="K3" s="118" t="s">
        <v>15</v>
      </c>
      <c r="L3" s="118" t="s">
        <v>370</v>
      </c>
      <c r="M3" s="117" t="s">
        <v>28</v>
      </c>
      <c r="N3" s="117" t="s">
        <v>78</v>
      </c>
      <c r="O3" s="121" t="s">
        <v>735</v>
      </c>
      <c r="P3" s="122" t="s">
        <v>43</v>
      </c>
      <c r="Q3" s="123" t="s">
        <v>184</v>
      </c>
      <c r="R3" s="123" t="s">
        <v>184</v>
      </c>
      <c r="S3" s="123" t="s">
        <v>184</v>
      </c>
      <c r="T3" s="123" t="s">
        <v>184</v>
      </c>
      <c r="U3" s="123" t="s">
        <v>184</v>
      </c>
      <c r="V3" s="123" t="s">
        <v>184</v>
      </c>
      <c r="W3" s="123" t="s">
        <v>184</v>
      </c>
      <c r="X3" s="389">
        <v>25006719</v>
      </c>
      <c r="Y3" s="389" t="s">
        <v>1431</v>
      </c>
    </row>
    <row r="4" spans="1:26" s="124" customFormat="1" ht="28" customHeight="1" thickBot="1" x14ac:dyDescent="0.35">
      <c r="A4" s="125" t="s">
        <v>311</v>
      </c>
      <c r="B4" s="125" t="s">
        <v>24</v>
      </c>
      <c r="C4" s="125" t="s">
        <v>25</v>
      </c>
      <c r="D4" s="126" t="s">
        <v>431</v>
      </c>
      <c r="E4" s="126" t="s">
        <v>435</v>
      </c>
      <c r="F4" s="126" t="s">
        <v>105</v>
      </c>
      <c r="G4" s="118" t="s">
        <v>14</v>
      </c>
      <c r="H4" s="126" t="s">
        <v>106</v>
      </c>
      <c r="I4" s="127" t="s">
        <v>26</v>
      </c>
      <c r="J4" s="128" t="s">
        <v>15</v>
      </c>
      <c r="K4" s="126" t="s">
        <v>27</v>
      </c>
      <c r="L4" s="129" t="s">
        <v>369</v>
      </c>
      <c r="M4" s="125" t="s">
        <v>28</v>
      </c>
      <c r="N4" s="125" t="s">
        <v>29</v>
      </c>
      <c r="O4" s="121" t="s">
        <v>736</v>
      </c>
      <c r="P4" s="130" t="s">
        <v>30</v>
      </c>
      <c r="Q4" s="131" t="s">
        <v>30</v>
      </c>
      <c r="R4" s="131" t="s">
        <v>30</v>
      </c>
      <c r="S4" s="132" t="s">
        <v>190</v>
      </c>
      <c r="T4" s="132" t="s">
        <v>190</v>
      </c>
      <c r="U4" s="132" t="s">
        <v>190</v>
      </c>
      <c r="V4" s="131" t="s">
        <v>30</v>
      </c>
      <c r="W4" s="131" t="s">
        <v>30</v>
      </c>
      <c r="X4" s="389">
        <v>17301437</v>
      </c>
      <c r="Y4" s="389"/>
    </row>
    <row r="5" spans="1:26" ht="28" customHeight="1" thickBot="1" x14ac:dyDescent="0.35">
      <c r="A5" s="125" t="s">
        <v>310</v>
      </c>
      <c r="B5" s="125" t="s">
        <v>10</v>
      </c>
      <c r="C5" s="125" t="s">
        <v>11</v>
      </c>
      <c r="D5" s="126" t="s">
        <v>372</v>
      </c>
      <c r="E5" s="126" t="s">
        <v>16</v>
      </c>
      <c r="F5" s="126" t="s">
        <v>101</v>
      </c>
      <c r="G5" s="118" t="s">
        <v>1641</v>
      </c>
      <c r="H5" s="126" t="s">
        <v>102</v>
      </c>
      <c r="I5" s="127" t="s">
        <v>13</v>
      </c>
      <c r="J5" s="128" t="s">
        <v>14</v>
      </c>
      <c r="K5" s="126" t="s">
        <v>15</v>
      </c>
      <c r="L5" s="126" t="s">
        <v>369</v>
      </c>
      <c r="M5" s="125" t="s">
        <v>17</v>
      </c>
      <c r="N5" s="133" t="s">
        <v>18</v>
      </c>
      <c r="O5" s="121" t="s">
        <v>735</v>
      </c>
      <c r="P5" s="130" t="s">
        <v>19</v>
      </c>
      <c r="Q5" s="123" t="s">
        <v>184</v>
      </c>
      <c r="R5" s="131" t="s">
        <v>30</v>
      </c>
      <c r="S5" s="123" t="s">
        <v>184</v>
      </c>
      <c r="T5" s="131" t="s">
        <v>30</v>
      </c>
      <c r="U5" s="132" t="s">
        <v>190</v>
      </c>
      <c r="V5" s="131" t="s">
        <v>30</v>
      </c>
      <c r="W5" s="132" t="s">
        <v>190</v>
      </c>
      <c r="X5" s="389">
        <v>12174106</v>
      </c>
    </row>
    <row r="6" spans="1:26" ht="28" customHeight="1" thickBot="1" x14ac:dyDescent="0.35">
      <c r="A6" s="117" t="s">
        <v>357</v>
      </c>
      <c r="B6" s="134" t="s">
        <v>96</v>
      </c>
      <c r="C6" s="134" t="s">
        <v>75</v>
      </c>
      <c r="D6" s="118" t="s">
        <v>417</v>
      </c>
      <c r="E6" s="118" t="s">
        <v>299</v>
      </c>
      <c r="F6" s="118" t="s">
        <v>107</v>
      </c>
      <c r="G6" s="118" t="s">
        <v>1641</v>
      </c>
      <c r="H6" s="118" t="s">
        <v>305</v>
      </c>
      <c r="I6" s="135" t="s">
        <v>91</v>
      </c>
      <c r="J6" s="136" t="s">
        <v>92</v>
      </c>
      <c r="K6" s="137" t="s">
        <v>15</v>
      </c>
      <c r="L6" s="138" t="s">
        <v>369</v>
      </c>
      <c r="M6" s="139" t="s">
        <v>97</v>
      </c>
      <c r="N6" s="140" t="s">
        <v>300</v>
      </c>
      <c r="O6" s="121" t="s">
        <v>735</v>
      </c>
      <c r="P6" s="122" t="s">
        <v>43</v>
      </c>
      <c r="Q6" s="141" t="s">
        <v>184</v>
      </c>
      <c r="R6" s="141" t="s">
        <v>184</v>
      </c>
      <c r="S6" s="141" t="s">
        <v>184</v>
      </c>
      <c r="T6" s="141" t="s">
        <v>184</v>
      </c>
      <c r="U6" s="141" t="s">
        <v>184</v>
      </c>
      <c r="V6" s="141" t="s">
        <v>184</v>
      </c>
      <c r="W6" s="141" t="s">
        <v>184</v>
      </c>
      <c r="X6" s="389">
        <v>28478972</v>
      </c>
      <c r="Y6" s="389" t="s">
        <v>1430</v>
      </c>
    </row>
    <row r="7" spans="1:26" s="124" customFormat="1" ht="28" customHeight="1" thickBot="1" x14ac:dyDescent="0.35">
      <c r="A7" s="117" t="s">
        <v>362</v>
      </c>
      <c r="B7" s="134" t="s">
        <v>319</v>
      </c>
      <c r="C7" s="134" t="s">
        <v>320</v>
      </c>
      <c r="D7" s="118" t="s">
        <v>429</v>
      </c>
      <c r="E7" s="118" t="s">
        <v>321</v>
      </c>
      <c r="F7" s="118" t="s">
        <v>340</v>
      </c>
      <c r="G7" s="118" t="s">
        <v>1641</v>
      </c>
      <c r="H7" s="118" t="s">
        <v>346</v>
      </c>
      <c r="I7" s="142" t="s">
        <v>91</v>
      </c>
      <c r="J7" s="143" t="s">
        <v>15</v>
      </c>
      <c r="K7" s="118" t="s">
        <v>15</v>
      </c>
      <c r="L7" s="118" t="s">
        <v>369</v>
      </c>
      <c r="M7" s="144" t="s">
        <v>82</v>
      </c>
      <c r="N7" s="144" t="s">
        <v>322</v>
      </c>
      <c r="O7" s="145" t="s">
        <v>735</v>
      </c>
      <c r="P7" s="146" t="s">
        <v>43</v>
      </c>
      <c r="Q7" s="123" t="s">
        <v>184</v>
      </c>
      <c r="R7" s="123" t="s">
        <v>184</v>
      </c>
      <c r="S7" s="123" t="s">
        <v>184</v>
      </c>
      <c r="T7" s="123" t="s">
        <v>184</v>
      </c>
      <c r="U7" s="131" t="s">
        <v>30</v>
      </c>
      <c r="V7" s="123" t="s">
        <v>184</v>
      </c>
      <c r="W7" s="123" t="s">
        <v>184</v>
      </c>
      <c r="X7" s="389">
        <v>30092324</v>
      </c>
      <c r="Y7" s="389" t="s">
        <v>1429</v>
      </c>
    </row>
    <row r="8" spans="1:26" ht="27.75" customHeight="1" thickBot="1" x14ac:dyDescent="0.35">
      <c r="A8" s="125" t="s">
        <v>781</v>
      </c>
      <c r="B8" s="147" t="s">
        <v>752</v>
      </c>
      <c r="C8" s="147" t="s">
        <v>753</v>
      </c>
      <c r="D8" s="125" t="s">
        <v>754</v>
      </c>
      <c r="E8" s="125" t="s">
        <v>758</v>
      </c>
      <c r="F8" s="125" t="s">
        <v>755</v>
      </c>
      <c r="G8" s="118" t="s">
        <v>14</v>
      </c>
      <c r="H8" s="125" t="s">
        <v>756</v>
      </c>
      <c r="I8" s="148" t="s">
        <v>91</v>
      </c>
      <c r="J8" s="149" t="s">
        <v>15</v>
      </c>
      <c r="K8" s="126" t="s">
        <v>15</v>
      </c>
      <c r="L8" s="126" t="s">
        <v>369</v>
      </c>
      <c r="M8" s="150" t="s">
        <v>759</v>
      </c>
      <c r="N8" s="147" t="s">
        <v>760</v>
      </c>
      <c r="O8" s="118" t="s">
        <v>736</v>
      </c>
      <c r="P8" s="146" t="s">
        <v>762</v>
      </c>
      <c r="Q8" s="123" t="s">
        <v>184</v>
      </c>
      <c r="R8" s="123" t="s">
        <v>184</v>
      </c>
      <c r="S8" s="123" t="s">
        <v>184</v>
      </c>
      <c r="T8" s="123" t="s">
        <v>184</v>
      </c>
      <c r="U8" s="123" t="s">
        <v>184</v>
      </c>
      <c r="V8" s="123" t="s">
        <v>184</v>
      </c>
      <c r="W8" s="123" t="s">
        <v>184</v>
      </c>
      <c r="X8" s="389">
        <v>31764962</v>
      </c>
      <c r="Y8" s="389" t="s">
        <v>1428</v>
      </c>
    </row>
    <row r="9" spans="1:26" ht="28" customHeight="1" thickBot="1" x14ac:dyDescent="0.35">
      <c r="A9" s="125" t="s">
        <v>173</v>
      </c>
      <c r="B9" s="125" t="s">
        <v>32</v>
      </c>
      <c r="C9" s="125" t="s">
        <v>33</v>
      </c>
      <c r="D9" s="126" t="s">
        <v>429</v>
      </c>
      <c r="E9" s="126" t="s">
        <v>35</v>
      </c>
      <c r="F9" s="126" t="s">
        <v>107</v>
      </c>
      <c r="G9" s="118" t="s">
        <v>1641</v>
      </c>
      <c r="H9" s="126" t="s">
        <v>108</v>
      </c>
      <c r="I9" s="127" t="s">
        <v>13</v>
      </c>
      <c r="J9" s="128" t="s">
        <v>15</v>
      </c>
      <c r="K9" s="126" t="s">
        <v>34</v>
      </c>
      <c r="L9" s="151" t="s">
        <v>370</v>
      </c>
      <c r="M9" s="125" t="s">
        <v>36</v>
      </c>
      <c r="N9" s="125" t="s">
        <v>37</v>
      </c>
      <c r="O9" s="121" t="s">
        <v>735</v>
      </c>
      <c r="P9" s="152" t="s">
        <v>43</v>
      </c>
      <c r="Q9" s="123" t="s">
        <v>184</v>
      </c>
      <c r="R9" s="131" t="s">
        <v>30</v>
      </c>
      <c r="S9" s="131" t="s">
        <v>30</v>
      </c>
      <c r="T9" s="131" t="s">
        <v>30</v>
      </c>
      <c r="U9" s="123" t="s">
        <v>184</v>
      </c>
      <c r="V9" s="131" t="s">
        <v>30</v>
      </c>
      <c r="W9" s="131" t="s">
        <v>30</v>
      </c>
      <c r="X9" s="389">
        <v>10727313</v>
      </c>
    </row>
    <row r="10" spans="1:26" ht="28" customHeight="1" thickBot="1" x14ac:dyDescent="0.35">
      <c r="A10" s="117" t="s">
        <v>410</v>
      </c>
      <c r="B10" s="117" t="s">
        <v>170</v>
      </c>
      <c r="C10" s="117" t="s">
        <v>75</v>
      </c>
      <c r="D10" s="118" t="s">
        <v>418</v>
      </c>
      <c r="E10" s="118" t="s">
        <v>295</v>
      </c>
      <c r="F10" s="118" t="s">
        <v>107</v>
      </c>
      <c r="G10" s="118" t="s">
        <v>1641</v>
      </c>
      <c r="H10" s="118" t="s">
        <v>338</v>
      </c>
      <c r="I10" s="119" t="s">
        <v>91</v>
      </c>
      <c r="J10" s="120" t="s">
        <v>92</v>
      </c>
      <c r="K10" s="118" t="s">
        <v>92</v>
      </c>
      <c r="L10" s="138" t="s">
        <v>369</v>
      </c>
      <c r="M10" s="117" t="s">
        <v>171</v>
      </c>
      <c r="N10" s="118" t="s">
        <v>172</v>
      </c>
      <c r="O10" s="153" t="s">
        <v>735</v>
      </c>
      <c r="P10" s="146" t="s">
        <v>43</v>
      </c>
      <c r="Q10" s="141" t="s">
        <v>184</v>
      </c>
      <c r="R10" s="141" t="s">
        <v>184</v>
      </c>
      <c r="S10" s="141" t="s">
        <v>184</v>
      </c>
      <c r="T10" s="141" t="s">
        <v>184</v>
      </c>
      <c r="U10" s="141" t="s">
        <v>184</v>
      </c>
      <c r="V10" s="141" t="s">
        <v>184</v>
      </c>
      <c r="W10" s="141" t="s">
        <v>184</v>
      </c>
      <c r="X10" s="389">
        <v>29193016</v>
      </c>
      <c r="Y10" s="389" t="s">
        <v>1427</v>
      </c>
    </row>
    <row r="11" spans="1:26" ht="28" customHeight="1" thickBot="1" x14ac:dyDescent="0.35">
      <c r="A11" s="125" t="s">
        <v>178</v>
      </c>
      <c r="B11" s="125" t="s">
        <v>71</v>
      </c>
      <c r="C11" s="125" t="s">
        <v>407</v>
      </c>
      <c r="D11" s="126" t="s">
        <v>438</v>
      </c>
      <c r="E11" s="126" t="s">
        <v>72</v>
      </c>
      <c r="F11" s="126" t="s">
        <v>123</v>
      </c>
      <c r="G11" s="118" t="s">
        <v>14</v>
      </c>
      <c r="H11" s="126" t="s">
        <v>124</v>
      </c>
      <c r="I11" s="127" t="s">
        <v>12</v>
      </c>
      <c r="J11" s="128" t="s">
        <v>15</v>
      </c>
      <c r="K11" s="126" t="s">
        <v>27</v>
      </c>
      <c r="L11" s="126" t="s">
        <v>370</v>
      </c>
      <c r="M11" s="125" t="s">
        <v>17</v>
      </c>
      <c r="N11" s="125" t="s">
        <v>73</v>
      </c>
      <c r="O11" s="121" t="s">
        <v>736</v>
      </c>
      <c r="P11" s="122" t="s">
        <v>100</v>
      </c>
      <c r="Q11" s="123" t="s">
        <v>184</v>
      </c>
      <c r="R11" s="131" t="s">
        <v>30</v>
      </c>
      <c r="S11" s="132" t="s">
        <v>190</v>
      </c>
      <c r="T11" s="132" t="s">
        <v>190</v>
      </c>
      <c r="U11" s="123" t="s">
        <v>184</v>
      </c>
      <c r="V11" s="123" t="s">
        <v>184</v>
      </c>
      <c r="W11" s="123" t="s">
        <v>184</v>
      </c>
      <c r="X11" s="389">
        <v>23229188</v>
      </c>
    </row>
    <row r="12" spans="1:26" ht="28" customHeight="1" thickBot="1" x14ac:dyDescent="0.35">
      <c r="A12" s="117" t="s">
        <v>697</v>
      </c>
      <c r="B12" s="154" t="s">
        <v>698</v>
      </c>
      <c r="C12" s="117" t="s">
        <v>75</v>
      </c>
      <c r="D12" s="118" t="s">
        <v>699</v>
      </c>
      <c r="E12" s="118" t="s">
        <v>700</v>
      </c>
      <c r="F12" s="118" t="s">
        <v>280</v>
      </c>
      <c r="G12" s="118" t="s">
        <v>1641</v>
      </c>
      <c r="H12" s="118" t="s">
        <v>344</v>
      </c>
      <c r="I12" s="119" t="s">
        <v>91</v>
      </c>
      <c r="J12" s="120" t="s">
        <v>15</v>
      </c>
      <c r="K12" s="118" t="s">
        <v>335</v>
      </c>
      <c r="L12" s="155" t="s">
        <v>370</v>
      </c>
      <c r="M12" s="117" t="s">
        <v>336</v>
      </c>
      <c r="N12" s="117" t="s">
        <v>337</v>
      </c>
      <c r="O12" s="121" t="s">
        <v>735</v>
      </c>
      <c r="P12" s="146" t="s">
        <v>43</v>
      </c>
      <c r="Q12" s="123" t="s">
        <v>184</v>
      </c>
      <c r="R12" s="123" t="s">
        <v>184</v>
      </c>
      <c r="S12" s="123" t="s">
        <v>184</v>
      </c>
      <c r="T12" s="123" t="s">
        <v>184</v>
      </c>
      <c r="U12" s="156" t="s">
        <v>190</v>
      </c>
      <c r="V12" s="157" t="s">
        <v>30</v>
      </c>
      <c r="W12" s="123" t="s">
        <v>184</v>
      </c>
      <c r="X12" s="389">
        <v>31577341</v>
      </c>
      <c r="Y12" s="389" t="s">
        <v>1426</v>
      </c>
    </row>
    <row r="13" spans="1:26" s="124" customFormat="1" ht="28" customHeight="1" thickBot="1" x14ac:dyDescent="0.35">
      <c r="A13" s="154" t="s">
        <v>740</v>
      </c>
      <c r="B13" s="134" t="s">
        <v>240</v>
      </c>
      <c r="C13" s="134" t="s">
        <v>241</v>
      </c>
      <c r="D13" s="117" t="s">
        <v>420</v>
      </c>
      <c r="E13" s="117" t="s">
        <v>318</v>
      </c>
      <c r="F13" s="117" t="s">
        <v>125</v>
      </c>
      <c r="G13" s="118" t="s">
        <v>1641</v>
      </c>
      <c r="H13" s="117" t="s">
        <v>277</v>
      </c>
      <c r="I13" s="135" t="s">
        <v>89</v>
      </c>
      <c r="J13" s="136" t="s">
        <v>92</v>
      </c>
      <c r="K13" s="137" t="s">
        <v>27</v>
      </c>
      <c r="L13" s="138" t="s">
        <v>369</v>
      </c>
      <c r="M13" s="139" t="s">
        <v>87</v>
      </c>
      <c r="N13" s="144" t="s">
        <v>242</v>
      </c>
      <c r="O13" s="158" t="s">
        <v>735</v>
      </c>
      <c r="P13" s="122" t="s">
        <v>19</v>
      </c>
      <c r="Q13" s="123" t="s">
        <v>184</v>
      </c>
      <c r="R13" s="123" t="s">
        <v>184</v>
      </c>
      <c r="S13" s="132" t="s">
        <v>190</v>
      </c>
      <c r="T13" s="123" t="s">
        <v>184</v>
      </c>
      <c r="U13" s="131" t="s">
        <v>30</v>
      </c>
      <c r="V13" s="141" t="s">
        <v>184</v>
      </c>
      <c r="W13" s="123" t="s">
        <v>184</v>
      </c>
      <c r="X13" s="389">
        <v>28967549</v>
      </c>
      <c r="Y13" s="389" t="s">
        <v>1425</v>
      </c>
    </row>
    <row r="14" spans="1:26" s="124" customFormat="1" ht="28" customHeight="1" thickBot="1" x14ac:dyDescent="0.35">
      <c r="A14" s="125" t="s">
        <v>174</v>
      </c>
      <c r="B14" s="125" t="s">
        <v>38</v>
      </c>
      <c r="C14" s="125" t="s">
        <v>39</v>
      </c>
      <c r="D14" s="126" t="s">
        <v>433</v>
      </c>
      <c r="E14" s="126" t="s">
        <v>21</v>
      </c>
      <c r="F14" s="126" t="s">
        <v>109</v>
      </c>
      <c r="G14" s="118" t="s">
        <v>1641</v>
      </c>
      <c r="H14" s="126" t="s">
        <v>110</v>
      </c>
      <c r="I14" s="127" t="s">
        <v>26</v>
      </c>
      <c r="J14" s="128" t="s">
        <v>15</v>
      </c>
      <c r="K14" s="126" t="s">
        <v>27</v>
      </c>
      <c r="L14" s="129" t="s">
        <v>369</v>
      </c>
      <c r="M14" s="125" t="s">
        <v>40</v>
      </c>
      <c r="N14" s="133" t="s">
        <v>41</v>
      </c>
      <c r="O14" s="159" t="s">
        <v>735</v>
      </c>
      <c r="P14" s="122" t="s">
        <v>43</v>
      </c>
      <c r="Q14" s="131" t="s">
        <v>30</v>
      </c>
      <c r="R14" s="131" t="s">
        <v>30</v>
      </c>
      <c r="S14" s="132" t="s">
        <v>190</v>
      </c>
      <c r="T14" s="132" t="s">
        <v>190</v>
      </c>
      <c r="U14" s="131" t="s">
        <v>30</v>
      </c>
      <c r="V14" s="131" t="s">
        <v>30</v>
      </c>
      <c r="W14" s="123" t="s">
        <v>184</v>
      </c>
      <c r="X14" s="389" t="s">
        <v>1432</v>
      </c>
      <c r="Y14" s="389"/>
    </row>
    <row r="15" spans="1:26" s="124" customFormat="1" ht="28" customHeight="1" thickBot="1" x14ac:dyDescent="0.35">
      <c r="A15" s="117" t="s">
        <v>901</v>
      </c>
      <c r="B15" s="160" t="s">
        <v>899</v>
      </c>
      <c r="C15" s="134" t="s">
        <v>236</v>
      </c>
      <c r="D15" s="118" t="s">
        <v>419</v>
      </c>
      <c r="E15" s="118" t="s">
        <v>301</v>
      </c>
      <c r="F15" s="118" t="s">
        <v>107</v>
      </c>
      <c r="G15" s="118" t="s">
        <v>1641</v>
      </c>
      <c r="H15" s="118" t="s">
        <v>276</v>
      </c>
      <c r="I15" s="161" t="s">
        <v>237</v>
      </c>
      <c r="J15" s="162" t="s">
        <v>92</v>
      </c>
      <c r="K15" s="137" t="s">
        <v>15</v>
      </c>
      <c r="L15" s="138" t="s">
        <v>369</v>
      </c>
      <c r="M15" s="139" t="s">
        <v>93</v>
      </c>
      <c r="N15" s="163" t="s">
        <v>238</v>
      </c>
      <c r="O15" s="121" t="s">
        <v>735</v>
      </c>
      <c r="P15" s="130" t="s">
        <v>43</v>
      </c>
      <c r="Q15" s="123" t="s">
        <v>184</v>
      </c>
      <c r="R15" s="123" t="s">
        <v>507</v>
      </c>
      <c r="S15" s="123" t="s">
        <v>507</v>
      </c>
      <c r="T15" s="123" t="s">
        <v>507</v>
      </c>
      <c r="U15" s="123" t="s">
        <v>184</v>
      </c>
      <c r="V15" s="123" t="s">
        <v>184</v>
      </c>
      <c r="W15" s="123" t="s">
        <v>184</v>
      </c>
      <c r="X15" s="389" t="s">
        <v>1433</v>
      </c>
      <c r="Y15" s="389" t="s">
        <v>1434</v>
      </c>
    </row>
    <row r="16" spans="1:26" s="124" customFormat="1" ht="28" customHeight="1" thickBot="1" x14ac:dyDescent="0.35">
      <c r="A16" s="117" t="s">
        <v>411</v>
      </c>
      <c r="B16" s="134" t="s">
        <v>264</v>
      </c>
      <c r="C16" s="134" t="s">
        <v>265</v>
      </c>
      <c r="D16" s="118" t="s">
        <v>426</v>
      </c>
      <c r="E16" s="118" t="s">
        <v>12</v>
      </c>
      <c r="F16" s="118" t="s">
        <v>285</v>
      </c>
      <c r="G16" s="118" t="s">
        <v>1641</v>
      </c>
      <c r="H16" s="118" t="s">
        <v>286</v>
      </c>
      <c r="I16" s="164" t="s">
        <v>91</v>
      </c>
      <c r="J16" s="165" t="s">
        <v>15</v>
      </c>
      <c r="K16" s="118" t="s">
        <v>15</v>
      </c>
      <c r="L16" s="118" t="s">
        <v>12</v>
      </c>
      <c r="M16" s="166" t="s">
        <v>254</v>
      </c>
      <c r="N16" s="144" t="s">
        <v>266</v>
      </c>
      <c r="O16" s="121" t="s">
        <v>735</v>
      </c>
      <c r="P16" s="146" t="s">
        <v>19</v>
      </c>
      <c r="Q16" s="167" t="s">
        <v>30</v>
      </c>
      <c r="R16" s="167" t="s">
        <v>30</v>
      </c>
      <c r="S16" s="141" t="s">
        <v>184</v>
      </c>
      <c r="T16" s="141" t="s">
        <v>184</v>
      </c>
      <c r="U16" s="141" t="s">
        <v>184</v>
      </c>
      <c r="V16" s="141" t="s">
        <v>184</v>
      </c>
      <c r="W16" s="141" t="s">
        <v>184</v>
      </c>
      <c r="X16" s="389" t="s">
        <v>1435</v>
      </c>
      <c r="Y16" s="389" t="s">
        <v>1436</v>
      </c>
    </row>
    <row r="17" spans="1:25" s="124" customFormat="1" ht="28" customHeight="1" thickBot="1" x14ac:dyDescent="0.35">
      <c r="A17" s="117" t="s">
        <v>354</v>
      </c>
      <c r="B17" s="117" t="s">
        <v>325</v>
      </c>
      <c r="C17" s="117" t="s">
        <v>247</v>
      </c>
      <c r="D17" s="118" t="s">
        <v>425</v>
      </c>
      <c r="E17" s="118" t="s">
        <v>326</v>
      </c>
      <c r="F17" s="118" t="s">
        <v>107</v>
      </c>
      <c r="G17" s="118" t="s">
        <v>1641</v>
      </c>
      <c r="H17" s="118" t="s">
        <v>345</v>
      </c>
      <c r="I17" s="117" t="s">
        <v>91</v>
      </c>
      <c r="J17" s="168" t="s">
        <v>15</v>
      </c>
      <c r="K17" s="118" t="s">
        <v>15</v>
      </c>
      <c r="L17" s="118" t="s">
        <v>370</v>
      </c>
      <c r="M17" s="117" t="s">
        <v>82</v>
      </c>
      <c r="N17" s="169" t="s">
        <v>327</v>
      </c>
      <c r="O17" s="121" t="s">
        <v>735</v>
      </c>
      <c r="P17" s="168" t="s">
        <v>43</v>
      </c>
      <c r="Q17" s="123" t="s">
        <v>184</v>
      </c>
      <c r="R17" s="123" t="s">
        <v>184</v>
      </c>
      <c r="S17" s="123" t="s">
        <v>184</v>
      </c>
      <c r="T17" s="123" t="s">
        <v>184</v>
      </c>
      <c r="U17" s="131" t="s">
        <v>30</v>
      </c>
      <c r="V17" s="123" t="s">
        <v>184</v>
      </c>
      <c r="W17" s="123" t="s">
        <v>184</v>
      </c>
      <c r="X17" s="389" t="s">
        <v>1437</v>
      </c>
      <c r="Y17" s="389" t="s">
        <v>1438</v>
      </c>
    </row>
    <row r="18" spans="1:25" ht="28" customHeight="1" thickBot="1" x14ac:dyDescent="0.35">
      <c r="A18" s="169" t="s">
        <v>353</v>
      </c>
      <c r="B18" s="117" t="s">
        <v>328</v>
      </c>
      <c r="C18" s="170" t="s">
        <v>247</v>
      </c>
      <c r="D18" s="118" t="s">
        <v>425</v>
      </c>
      <c r="E18" s="118" t="s">
        <v>12</v>
      </c>
      <c r="F18" s="118" t="s">
        <v>107</v>
      </c>
      <c r="G18" s="118" t="s">
        <v>1641</v>
      </c>
      <c r="H18" s="118" t="s">
        <v>341</v>
      </c>
      <c r="I18" s="117" t="s">
        <v>91</v>
      </c>
      <c r="J18" s="168" t="s">
        <v>15</v>
      </c>
      <c r="K18" s="171" t="s">
        <v>15</v>
      </c>
      <c r="L18" s="130" t="s">
        <v>12</v>
      </c>
      <c r="M18" s="170" t="s">
        <v>263</v>
      </c>
      <c r="N18" s="117" t="s">
        <v>330</v>
      </c>
      <c r="O18" s="121" t="s">
        <v>735</v>
      </c>
      <c r="P18" s="168" t="s">
        <v>43</v>
      </c>
      <c r="Q18" s="123" t="s">
        <v>184</v>
      </c>
      <c r="R18" s="123" t="s">
        <v>184</v>
      </c>
      <c r="S18" s="123" t="s">
        <v>184</v>
      </c>
      <c r="T18" s="123" t="s">
        <v>184</v>
      </c>
      <c r="U18" s="123" t="s">
        <v>184</v>
      </c>
      <c r="V18" s="132" t="s">
        <v>190</v>
      </c>
      <c r="W18" s="172" t="s">
        <v>184</v>
      </c>
      <c r="X18" s="389" t="s">
        <v>1439</v>
      </c>
      <c r="Y18" s="389" t="s">
        <v>1440</v>
      </c>
    </row>
    <row r="19" spans="1:25" s="124" customFormat="1" ht="28" customHeight="1" thickBot="1" x14ac:dyDescent="0.35">
      <c r="A19" s="117" t="s">
        <v>784</v>
      </c>
      <c r="B19" s="171" t="s">
        <v>743</v>
      </c>
      <c r="C19" s="117" t="s">
        <v>247</v>
      </c>
      <c r="D19" s="118" t="s">
        <v>744</v>
      </c>
      <c r="E19" s="118" t="s">
        <v>745</v>
      </c>
      <c r="F19" s="118" t="s">
        <v>280</v>
      </c>
      <c r="G19" s="118" t="s">
        <v>1641</v>
      </c>
      <c r="H19" s="118" t="s">
        <v>342</v>
      </c>
      <c r="I19" s="117" t="s">
        <v>91</v>
      </c>
      <c r="J19" s="118" t="s">
        <v>15</v>
      </c>
      <c r="K19" s="118" t="s">
        <v>63</v>
      </c>
      <c r="L19" s="152" t="s">
        <v>370</v>
      </c>
      <c r="M19" s="170" t="s">
        <v>331</v>
      </c>
      <c r="N19" s="170" t="s">
        <v>332</v>
      </c>
      <c r="O19" s="121" t="s">
        <v>735</v>
      </c>
      <c r="P19" s="168" t="s">
        <v>43</v>
      </c>
      <c r="Q19" s="123" t="s">
        <v>184</v>
      </c>
      <c r="R19" s="123" t="s">
        <v>184</v>
      </c>
      <c r="S19" s="123" t="s">
        <v>184</v>
      </c>
      <c r="T19" s="123" t="s">
        <v>184</v>
      </c>
      <c r="U19" s="123" t="s">
        <v>184</v>
      </c>
      <c r="V19" s="132" t="s">
        <v>190</v>
      </c>
      <c r="W19" s="123" t="s">
        <v>184</v>
      </c>
      <c r="X19" s="389" t="s">
        <v>1441</v>
      </c>
      <c r="Y19" s="389" t="s">
        <v>1442</v>
      </c>
    </row>
    <row r="20" spans="1:25" s="124" customFormat="1" ht="28" customHeight="1" thickBot="1" x14ac:dyDescent="0.35">
      <c r="A20" s="173" t="s">
        <v>808</v>
      </c>
      <c r="B20" s="174" t="s">
        <v>809</v>
      </c>
      <c r="C20" s="125" t="s">
        <v>810</v>
      </c>
      <c r="D20" s="173" t="s">
        <v>811</v>
      </c>
      <c r="E20" s="173" t="s">
        <v>769</v>
      </c>
      <c r="F20" s="125" t="s">
        <v>711</v>
      </c>
      <c r="G20" s="118" t="s">
        <v>1641</v>
      </c>
      <c r="H20" s="125" t="s">
        <v>812</v>
      </c>
      <c r="I20" s="173" t="s">
        <v>91</v>
      </c>
      <c r="J20" s="121" t="s">
        <v>15</v>
      </c>
      <c r="K20" s="121" t="s">
        <v>63</v>
      </c>
      <c r="L20" s="159" t="s">
        <v>370</v>
      </c>
      <c r="M20" s="175" t="s">
        <v>82</v>
      </c>
      <c r="N20" s="175" t="s">
        <v>814</v>
      </c>
      <c r="O20" s="121" t="s">
        <v>735</v>
      </c>
      <c r="P20" s="159" t="s">
        <v>43</v>
      </c>
      <c r="Q20" s="131" t="s">
        <v>30</v>
      </c>
      <c r="R20" s="123" t="s">
        <v>184</v>
      </c>
      <c r="S20" s="123" t="s">
        <v>184</v>
      </c>
      <c r="T20" s="123" t="s">
        <v>184</v>
      </c>
      <c r="U20" s="131" t="s">
        <v>30</v>
      </c>
      <c r="V20" s="123" t="s">
        <v>184</v>
      </c>
      <c r="W20" s="123" t="s">
        <v>184</v>
      </c>
      <c r="X20" s="389" t="s">
        <v>1443</v>
      </c>
      <c r="Y20" s="389" t="s">
        <v>1444</v>
      </c>
    </row>
    <row r="21" spans="1:25" s="124" customFormat="1" ht="28" customHeight="1" thickBot="1" x14ac:dyDescent="0.35">
      <c r="A21" s="125" t="s">
        <v>314</v>
      </c>
      <c r="B21" s="125" t="s">
        <v>58</v>
      </c>
      <c r="C21" s="125" t="s">
        <v>59</v>
      </c>
      <c r="D21" s="126" t="s">
        <v>429</v>
      </c>
      <c r="E21" s="126" t="s">
        <v>1229</v>
      </c>
      <c r="F21" s="126" t="s">
        <v>117</v>
      </c>
      <c r="G21" s="118" t="s">
        <v>1641</v>
      </c>
      <c r="H21" s="126" t="s">
        <v>111</v>
      </c>
      <c r="I21" s="125" t="s">
        <v>13</v>
      </c>
      <c r="J21" s="145" t="s">
        <v>15</v>
      </c>
      <c r="K21" s="126" t="s">
        <v>15</v>
      </c>
      <c r="L21" s="176" t="s">
        <v>369</v>
      </c>
      <c r="M21" s="125" t="s">
        <v>28</v>
      </c>
      <c r="N21" s="125" t="s">
        <v>60</v>
      </c>
      <c r="O21" s="121" t="s">
        <v>52</v>
      </c>
      <c r="P21" s="122" t="s">
        <v>43</v>
      </c>
      <c r="Q21" s="123" t="s">
        <v>184</v>
      </c>
      <c r="R21" s="131" t="s">
        <v>30</v>
      </c>
      <c r="S21" s="123" t="s">
        <v>471</v>
      </c>
      <c r="T21" s="131" t="s">
        <v>30</v>
      </c>
      <c r="U21" s="132" t="s">
        <v>190</v>
      </c>
      <c r="V21" s="131" t="s">
        <v>30</v>
      </c>
      <c r="W21" s="123" t="s">
        <v>184</v>
      </c>
      <c r="X21" s="389" t="s">
        <v>1445</v>
      </c>
      <c r="Y21" s="389"/>
    </row>
    <row r="22" spans="1:25" s="124" customFormat="1" ht="28" customHeight="1" thickBot="1" x14ac:dyDescent="0.35">
      <c r="A22" s="125" t="s">
        <v>179</v>
      </c>
      <c r="B22" s="174" t="s">
        <v>85</v>
      </c>
      <c r="C22" s="125" t="s">
        <v>86</v>
      </c>
      <c r="D22" s="126" t="s">
        <v>416</v>
      </c>
      <c r="E22" s="126" t="s">
        <v>12</v>
      </c>
      <c r="F22" s="126" t="s">
        <v>12</v>
      </c>
      <c r="G22" s="118" t="s">
        <v>14</v>
      </c>
      <c r="H22" s="126" t="s">
        <v>12</v>
      </c>
      <c r="I22" s="125" t="s">
        <v>13</v>
      </c>
      <c r="J22" s="126" t="s">
        <v>15</v>
      </c>
      <c r="K22" s="126" t="s">
        <v>15</v>
      </c>
      <c r="L22" s="177" t="s">
        <v>12</v>
      </c>
      <c r="M22" s="178" t="s">
        <v>87</v>
      </c>
      <c r="N22" s="175" t="s">
        <v>88</v>
      </c>
      <c r="O22" s="121" t="s">
        <v>52</v>
      </c>
      <c r="P22" s="122" t="s">
        <v>100</v>
      </c>
      <c r="Q22" s="131" t="s">
        <v>30</v>
      </c>
      <c r="R22" s="131" t="s">
        <v>30</v>
      </c>
      <c r="S22" s="131" t="s">
        <v>30</v>
      </c>
      <c r="T22" s="131" t="s">
        <v>30</v>
      </c>
      <c r="U22" s="123" t="s">
        <v>184</v>
      </c>
      <c r="V22" s="132" t="s">
        <v>190</v>
      </c>
      <c r="W22" s="123" t="s">
        <v>184</v>
      </c>
      <c r="X22" s="389" t="s">
        <v>1446</v>
      </c>
      <c r="Y22" s="389" t="s">
        <v>1448</v>
      </c>
    </row>
    <row r="23" spans="1:25" ht="28" customHeight="1" thickBot="1" x14ac:dyDescent="0.35">
      <c r="A23" s="133" t="s">
        <v>176</v>
      </c>
      <c r="B23" s="125" t="s">
        <v>62</v>
      </c>
      <c r="C23" s="175" t="s">
        <v>46</v>
      </c>
      <c r="D23" s="126" t="s">
        <v>429</v>
      </c>
      <c r="E23" s="126" t="s">
        <v>64</v>
      </c>
      <c r="F23" s="176" t="s">
        <v>118</v>
      </c>
      <c r="G23" s="118" t="s">
        <v>1641</v>
      </c>
      <c r="H23" s="179" t="s">
        <v>119</v>
      </c>
      <c r="I23" s="175" t="s">
        <v>12</v>
      </c>
      <c r="J23" s="126" t="s">
        <v>15</v>
      </c>
      <c r="K23" s="126" t="s">
        <v>63</v>
      </c>
      <c r="L23" s="177" t="s">
        <v>370</v>
      </c>
      <c r="M23" s="125" t="s">
        <v>28</v>
      </c>
      <c r="N23" s="178" t="s">
        <v>60</v>
      </c>
      <c r="O23" s="121" t="s">
        <v>735</v>
      </c>
      <c r="P23" s="122" t="s">
        <v>43</v>
      </c>
      <c r="Q23" s="131" t="s">
        <v>30</v>
      </c>
      <c r="R23" s="131" t="s">
        <v>30</v>
      </c>
      <c r="S23" s="131" t="s">
        <v>30</v>
      </c>
      <c r="T23" s="131" t="s">
        <v>30</v>
      </c>
      <c r="U23" s="131" t="s">
        <v>30</v>
      </c>
      <c r="V23" s="131" t="s">
        <v>30</v>
      </c>
      <c r="W23" s="131" t="s">
        <v>30</v>
      </c>
      <c r="X23" s="389" t="s">
        <v>1447</v>
      </c>
      <c r="Y23" s="116"/>
    </row>
    <row r="24" spans="1:25" ht="28" customHeight="1" thickBot="1" x14ac:dyDescent="0.35">
      <c r="A24" s="133" t="s">
        <v>177</v>
      </c>
      <c r="B24" s="125" t="s">
        <v>66</v>
      </c>
      <c r="C24" s="175" t="s">
        <v>46</v>
      </c>
      <c r="D24" s="126" t="s">
        <v>436</v>
      </c>
      <c r="E24" s="126" t="s">
        <v>1230</v>
      </c>
      <c r="F24" s="126" t="s">
        <v>120</v>
      </c>
      <c r="G24" s="118" t="s">
        <v>14</v>
      </c>
      <c r="H24" s="129" t="s">
        <v>121</v>
      </c>
      <c r="I24" s="125" t="s">
        <v>12</v>
      </c>
      <c r="J24" s="126" t="s">
        <v>15</v>
      </c>
      <c r="K24" s="126" t="s">
        <v>15</v>
      </c>
      <c r="L24" s="145" t="s">
        <v>369</v>
      </c>
      <c r="M24" s="175" t="s">
        <v>396</v>
      </c>
      <c r="N24" s="175" t="s">
        <v>29</v>
      </c>
      <c r="O24" s="153" t="s">
        <v>736</v>
      </c>
      <c r="P24" s="130" t="s">
        <v>43</v>
      </c>
      <c r="Q24" s="131" t="s">
        <v>30</v>
      </c>
      <c r="R24" s="131" t="s">
        <v>30</v>
      </c>
      <c r="S24" s="131" t="s">
        <v>30</v>
      </c>
      <c r="T24" s="131" t="s">
        <v>30</v>
      </c>
      <c r="U24" s="132" t="s">
        <v>190</v>
      </c>
      <c r="V24" s="131" t="s">
        <v>30</v>
      </c>
      <c r="W24" s="132" t="s">
        <v>190</v>
      </c>
      <c r="X24" s="389" t="s">
        <v>1449</v>
      </c>
    </row>
    <row r="25" spans="1:25" ht="28" customHeight="1" thickBot="1" x14ac:dyDescent="0.35">
      <c r="A25" s="125" t="s">
        <v>869</v>
      </c>
      <c r="B25" s="175" t="s">
        <v>870</v>
      </c>
      <c r="C25" s="175" t="s">
        <v>871</v>
      </c>
      <c r="D25" s="125" t="s">
        <v>872</v>
      </c>
      <c r="E25" s="125" t="s">
        <v>878</v>
      </c>
      <c r="F25" s="125" t="s">
        <v>873</v>
      </c>
      <c r="G25" s="118" t="s">
        <v>1641</v>
      </c>
      <c r="H25" s="125" t="s">
        <v>1109</v>
      </c>
      <c r="I25" s="125" t="s">
        <v>91</v>
      </c>
      <c r="J25" s="145" t="s">
        <v>15</v>
      </c>
      <c r="K25" s="180" t="s">
        <v>15</v>
      </c>
      <c r="L25" s="145" t="s">
        <v>369</v>
      </c>
      <c r="M25" s="181" t="s">
        <v>770</v>
      </c>
      <c r="N25" s="175" t="s">
        <v>879</v>
      </c>
      <c r="O25" s="153" t="s">
        <v>52</v>
      </c>
      <c r="P25" s="159" t="s">
        <v>43</v>
      </c>
      <c r="Q25" s="131" t="s">
        <v>30</v>
      </c>
      <c r="R25" s="123" t="s">
        <v>184</v>
      </c>
      <c r="S25" s="123" t="s">
        <v>184</v>
      </c>
      <c r="T25" s="123" t="s">
        <v>184</v>
      </c>
      <c r="U25" s="182" t="s">
        <v>184</v>
      </c>
      <c r="V25" s="182" t="s">
        <v>184</v>
      </c>
      <c r="W25" s="182" t="s">
        <v>184</v>
      </c>
      <c r="X25" s="389" t="s">
        <v>1450</v>
      </c>
      <c r="Y25" s="389" t="s">
        <v>1451</v>
      </c>
    </row>
    <row r="26" spans="1:25" ht="28" customHeight="1" thickBot="1" x14ac:dyDescent="0.35">
      <c r="A26" s="117" t="s">
        <v>349</v>
      </c>
      <c r="B26" s="117" t="s">
        <v>272</v>
      </c>
      <c r="C26" s="170" t="s">
        <v>273</v>
      </c>
      <c r="D26" s="118" t="s">
        <v>428</v>
      </c>
      <c r="E26" s="118" t="s">
        <v>274</v>
      </c>
      <c r="F26" s="118" t="s">
        <v>280</v>
      </c>
      <c r="G26" s="118" t="s">
        <v>1641</v>
      </c>
      <c r="H26" s="118" t="s">
        <v>339</v>
      </c>
      <c r="I26" s="170" t="s">
        <v>91</v>
      </c>
      <c r="J26" s="168" t="s">
        <v>14</v>
      </c>
      <c r="K26" s="171" t="s">
        <v>15</v>
      </c>
      <c r="L26" s="168" t="s">
        <v>369</v>
      </c>
      <c r="M26" s="170" t="s">
        <v>275</v>
      </c>
      <c r="N26" s="117" t="s">
        <v>324</v>
      </c>
      <c r="O26" s="121" t="s">
        <v>735</v>
      </c>
      <c r="P26" s="118" t="s">
        <v>43</v>
      </c>
      <c r="Q26" s="183" t="s">
        <v>184</v>
      </c>
      <c r="R26" s="183" t="s">
        <v>184</v>
      </c>
      <c r="S26" s="183" t="s">
        <v>184</v>
      </c>
      <c r="T26" s="183" t="s">
        <v>184</v>
      </c>
      <c r="U26" s="183" t="s">
        <v>184</v>
      </c>
      <c r="V26" s="183" t="s">
        <v>184</v>
      </c>
      <c r="W26" s="183" t="s">
        <v>184</v>
      </c>
      <c r="X26" s="389" t="s">
        <v>1452</v>
      </c>
      <c r="Y26" s="389" t="s">
        <v>1453</v>
      </c>
    </row>
    <row r="27" spans="1:25" ht="28" customHeight="1" thickBot="1" x14ac:dyDescent="0.35">
      <c r="A27" s="133" t="s">
        <v>585</v>
      </c>
      <c r="B27" s="125" t="s">
        <v>20</v>
      </c>
      <c r="C27" s="175" t="s">
        <v>11</v>
      </c>
      <c r="D27" s="126" t="s">
        <v>432</v>
      </c>
      <c r="E27" s="126" t="s">
        <v>21</v>
      </c>
      <c r="F27" s="184" t="s">
        <v>103</v>
      </c>
      <c r="G27" s="118" t="s">
        <v>1641</v>
      </c>
      <c r="H27" s="179" t="s">
        <v>104</v>
      </c>
      <c r="I27" s="185" t="s">
        <v>13</v>
      </c>
      <c r="J27" s="126" t="s">
        <v>15</v>
      </c>
      <c r="K27" s="126" t="s">
        <v>15</v>
      </c>
      <c r="L27" s="145" t="s">
        <v>369</v>
      </c>
      <c r="M27" s="175" t="s">
        <v>22</v>
      </c>
      <c r="N27" s="125" t="s">
        <v>18</v>
      </c>
      <c r="O27" s="153" t="s">
        <v>735</v>
      </c>
      <c r="P27" s="122" t="s">
        <v>19</v>
      </c>
      <c r="Q27" s="123" t="s">
        <v>184</v>
      </c>
      <c r="R27" s="131" t="s">
        <v>30</v>
      </c>
      <c r="S27" s="123" t="s">
        <v>184</v>
      </c>
      <c r="T27" s="131" t="s">
        <v>30</v>
      </c>
      <c r="U27" s="131" t="s">
        <v>30</v>
      </c>
      <c r="V27" s="131" t="s">
        <v>30</v>
      </c>
      <c r="W27" s="123" t="s">
        <v>184</v>
      </c>
      <c r="X27" s="389" t="s">
        <v>1454</v>
      </c>
      <c r="Y27" s="389" t="s">
        <v>1455</v>
      </c>
    </row>
    <row r="28" spans="1:25" ht="28" customHeight="1" thickBot="1" x14ac:dyDescent="0.35">
      <c r="A28" s="133" t="s">
        <v>312</v>
      </c>
      <c r="B28" s="125" t="s">
        <v>45</v>
      </c>
      <c r="C28" s="175" t="s">
        <v>46</v>
      </c>
      <c r="D28" s="126" t="s">
        <v>427</v>
      </c>
      <c r="E28" s="126" t="s">
        <v>21</v>
      </c>
      <c r="F28" s="126" t="s">
        <v>112</v>
      </c>
      <c r="G28" s="118" t="s">
        <v>1641</v>
      </c>
      <c r="H28" s="126" t="s">
        <v>113</v>
      </c>
      <c r="I28" s="125" t="s">
        <v>13</v>
      </c>
      <c r="J28" s="145" t="s">
        <v>14</v>
      </c>
      <c r="K28" s="145" t="s">
        <v>15</v>
      </c>
      <c r="L28" s="145" t="s">
        <v>369</v>
      </c>
      <c r="M28" s="175" t="s">
        <v>1110</v>
      </c>
      <c r="N28" s="175" t="s">
        <v>47</v>
      </c>
      <c r="O28" s="121" t="s">
        <v>735</v>
      </c>
      <c r="P28" s="130" t="s">
        <v>43</v>
      </c>
      <c r="Q28" s="131" t="s">
        <v>30</v>
      </c>
      <c r="R28" s="131" t="s">
        <v>30</v>
      </c>
      <c r="S28" s="123" t="s">
        <v>184</v>
      </c>
      <c r="T28" s="131" t="s">
        <v>30</v>
      </c>
      <c r="U28" s="132" t="s">
        <v>190</v>
      </c>
      <c r="V28" s="131" t="s">
        <v>30</v>
      </c>
      <c r="W28" s="131" t="s">
        <v>30</v>
      </c>
      <c r="X28" s="389" t="s">
        <v>1456</v>
      </c>
    </row>
    <row r="29" spans="1:25" ht="28" customHeight="1" thickBot="1" x14ac:dyDescent="0.35">
      <c r="A29" s="117" t="s">
        <v>442</v>
      </c>
      <c r="B29" s="186" t="s">
        <v>333</v>
      </c>
      <c r="C29" s="170" t="s">
        <v>75</v>
      </c>
      <c r="D29" s="118" t="s">
        <v>430</v>
      </c>
      <c r="E29" s="118" t="s">
        <v>12</v>
      </c>
      <c r="F29" s="187" t="s">
        <v>283</v>
      </c>
      <c r="G29" s="118" t="s">
        <v>1641</v>
      </c>
      <c r="H29" s="118" t="s">
        <v>343</v>
      </c>
      <c r="I29" s="117" t="s">
        <v>91</v>
      </c>
      <c r="J29" s="118" t="s">
        <v>15</v>
      </c>
      <c r="K29" s="118" t="s">
        <v>15</v>
      </c>
      <c r="L29" s="146" t="s">
        <v>12</v>
      </c>
      <c r="M29" s="170" t="s">
        <v>254</v>
      </c>
      <c r="N29" s="170" t="s">
        <v>334</v>
      </c>
      <c r="O29" s="121" t="s">
        <v>735</v>
      </c>
      <c r="P29" s="146" t="s">
        <v>43</v>
      </c>
      <c r="Q29" s="131" t="s">
        <v>30</v>
      </c>
      <c r="R29" s="131" t="s">
        <v>30</v>
      </c>
      <c r="S29" s="123" t="s">
        <v>184</v>
      </c>
      <c r="T29" s="123" t="s">
        <v>184</v>
      </c>
      <c r="U29" s="131" t="s">
        <v>576</v>
      </c>
      <c r="V29" s="123" t="s">
        <v>184</v>
      </c>
      <c r="W29" s="123" t="s">
        <v>184</v>
      </c>
      <c r="Y29" s="389" t="s">
        <v>1457</v>
      </c>
    </row>
    <row r="30" spans="1:25" s="189" customFormat="1" ht="28" customHeight="1" thickBot="1" x14ac:dyDescent="0.35">
      <c r="A30" s="125" t="s">
        <v>313</v>
      </c>
      <c r="B30" s="175" t="s">
        <v>49</v>
      </c>
      <c r="C30" s="175" t="s">
        <v>50</v>
      </c>
      <c r="D30" s="126" t="s">
        <v>434</v>
      </c>
      <c r="E30" s="126" t="s">
        <v>35</v>
      </c>
      <c r="F30" s="126" t="s">
        <v>114</v>
      </c>
      <c r="G30" s="118"/>
      <c r="H30" s="126" t="s">
        <v>115</v>
      </c>
      <c r="I30" s="125" t="s">
        <v>13</v>
      </c>
      <c r="J30" s="126" t="s">
        <v>15</v>
      </c>
      <c r="K30" s="126" t="s">
        <v>27</v>
      </c>
      <c r="L30" s="145" t="s">
        <v>370</v>
      </c>
      <c r="M30" s="175" t="s">
        <v>1111</v>
      </c>
      <c r="N30" s="175" t="s">
        <v>51</v>
      </c>
      <c r="O30" s="121" t="s">
        <v>52</v>
      </c>
      <c r="P30" s="130" t="s">
        <v>19</v>
      </c>
      <c r="Q30" s="131" t="s">
        <v>30</v>
      </c>
      <c r="R30" s="131" t="s">
        <v>30</v>
      </c>
      <c r="S30" s="123" t="s">
        <v>184</v>
      </c>
      <c r="T30" s="123" t="s">
        <v>184</v>
      </c>
      <c r="U30" s="123" t="s">
        <v>184</v>
      </c>
      <c r="V30" s="131" t="s">
        <v>30</v>
      </c>
      <c r="W30" s="131" t="s">
        <v>30</v>
      </c>
      <c r="X30" s="390" t="s">
        <v>1458</v>
      </c>
      <c r="Y30" s="390"/>
    </row>
    <row r="31" spans="1:25" ht="28" customHeight="1" thickBot="1" x14ac:dyDescent="0.35">
      <c r="A31" s="125" t="s">
        <v>820</v>
      </c>
      <c r="B31" s="125" t="s">
        <v>821</v>
      </c>
      <c r="C31" s="175" t="s">
        <v>822</v>
      </c>
      <c r="D31" s="125" t="s">
        <v>823</v>
      </c>
      <c r="E31" s="125" t="s">
        <v>826</v>
      </c>
      <c r="F31" s="125" t="s">
        <v>824</v>
      </c>
      <c r="G31" s="118" t="s">
        <v>14</v>
      </c>
      <c r="H31" s="190" t="s">
        <v>825</v>
      </c>
      <c r="I31" s="125" t="s">
        <v>91</v>
      </c>
      <c r="J31" s="126" t="s">
        <v>15</v>
      </c>
      <c r="K31" s="176" t="s">
        <v>63</v>
      </c>
      <c r="L31" s="145" t="s">
        <v>369</v>
      </c>
      <c r="M31" s="175" t="s">
        <v>827</v>
      </c>
      <c r="N31" s="170" t="s">
        <v>300</v>
      </c>
      <c r="O31" s="138" t="s">
        <v>736</v>
      </c>
      <c r="P31" s="168" t="s">
        <v>43</v>
      </c>
      <c r="Q31" s="123" t="s">
        <v>184</v>
      </c>
      <c r="R31" s="123" t="s">
        <v>184</v>
      </c>
      <c r="S31" s="123" t="s">
        <v>184</v>
      </c>
      <c r="T31" s="123" t="s">
        <v>184</v>
      </c>
      <c r="U31" s="123" t="s">
        <v>184</v>
      </c>
      <c r="V31" s="123" t="s">
        <v>184</v>
      </c>
      <c r="W31" s="123" t="s">
        <v>184</v>
      </c>
      <c r="X31" s="389" t="s">
        <v>1459</v>
      </c>
      <c r="Y31" s="389" t="s">
        <v>1460</v>
      </c>
    </row>
    <row r="32" spans="1:25" s="191" customFormat="1" ht="28" customHeight="1" thickBot="1" x14ac:dyDescent="0.35">
      <c r="A32" s="133" t="s">
        <v>837</v>
      </c>
      <c r="B32" s="125" t="s">
        <v>836</v>
      </c>
      <c r="C32" s="175" t="s">
        <v>822</v>
      </c>
      <c r="D32" s="125" t="s">
        <v>811</v>
      </c>
      <c r="E32" s="125" t="s">
        <v>838</v>
      </c>
      <c r="F32" s="125" t="s">
        <v>711</v>
      </c>
      <c r="G32" s="118" t="s">
        <v>1641</v>
      </c>
      <c r="H32" s="125" t="s">
        <v>812</v>
      </c>
      <c r="I32" s="125" t="s">
        <v>91</v>
      </c>
      <c r="J32" s="145" t="s">
        <v>15</v>
      </c>
      <c r="K32" s="145" t="s">
        <v>63</v>
      </c>
      <c r="L32" s="145" t="s">
        <v>369</v>
      </c>
      <c r="M32" s="175" t="s">
        <v>770</v>
      </c>
      <c r="N32" s="126" t="s">
        <v>775</v>
      </c>
      <c r="O32" s="118" t="s">
        <v>735</v>
      </c>
      <c r="P32" s="168" t="s">
        <v>43</v>
      </c>
      <c r="Q32" s="183" t="s">
        <v>184</v>
      </c>
      <c r="R32" s="183" t="s">
        <v>184</v>
      </c>
      <c r="S32" s="183" t="s">
        <v>184</v>
      </c>
      <c r="T32" s="183" t="s">
        <v>184</v>
      </c>
      <c r="U32" s="183" t="s">
        <v>184</v>
      </c>
      <c r="V32" s="183" t="s">
        <v>184</v>
      </c>
      <c r="W32" s="183" t="s">
        <v>184</v>
      </c>
      <c r="X32" s="391" t="s">
        <v>1461</v>
      </c>
      <c r="Y32" s="391" t="s">
        <v>1462</v>
      </c>
    </row>
    <row r="33" spans="1:26" ht="28" customHeight="1" thickBot="1" x14ac:dyDescent="0.35">
      <c r="A33" s="154" t="s">
        <v>352</v>
      </c>
      <c r="B33" s="170" t="s">
        <v>246</v>
      </c>
      <c r="C33" s="170" t="s">
        <v>247</v>
      </c>
      <c r="D33" s="118" t="s">
        <v>422</v>
      </c>
      <c r="E33" s="118" t="s">
        <v>248</v>
      </c>
      <c r="F33" s="118" t="s">
        <v>296</v>
      </c>
      <c r="G33" s="118" t="s">
        <v>1641</v>
      </c>
      <c r="H33" s="118" t="s">
        <v>279</v>
      </c>
      <c r="I33" s="192" t="s">
        <v>91</v>
      </c>
      <c r="J33" s="130" t="s">
        <v>15</v>
      </c>
      <c r="K33" s="137" t="s">
        <v>15</v>
      </c>
      <c r="L33" s="168" t="s">
        <v>370</v>
      </c>
      <c r="M33" s="170" t="s">
        <v>249</v>
      </c>
      <c r="N33" s="117" t="s">
        <v>250</v>
      </c>
      <c r="O33" s="121" t="s">
        <v>735</v>
      </c>
      <c r="P33" s="137" t="s">
        <v>43</v>
      </c>
      <c r="Q33" s="183" t="s">
        <v>184</v>
      </c>
      <c r="R33" s="183" t="s">
        <v>184</v>
      </c>
      <c r="S33" s="183" t="s">
        <v>184</v>
      </c>
      <c r="T33" s="183" t="s">
        <v>184</v>
      </c>
      <c r="U33" s="132" t="s">
        <v>190</v>
      </c>
      <c r="V33" s="183" t="s">
        <v>184</v>
      </c>
      <c r="W33" s="183" t="s">
        <v>184</v>
      </c>
      <c r="X33" s="389" t="s">
        <v>1463</v>
      </c>
      <c r="Y33" s="389" t="s">
        <v>1464</v>
      </c>
    </row>
    <row r="34" spans="1:26" ht="28" customHeight="1" thickBot="1" x14ac:dyDescent="0.35">
      <c r="A34" s="117" t="s">
        <v>361</v>
      </c>
      <c r="B34" s="170" t="s">
        <v>267</v>
      </c>
      <c r="C34" s="170" t="s">
        <v>738</v>
      </c>
      <c r="D34" s="118" t="s">
        <v>427</v>
      </c>
      <c r="E34" s="118" t="s">
        <v>269</v>
      </c>
      <c r="F34" s="118" t="s">
        <v>287</v>
      </c>
      <c r="G34" s="118" t="s">
        <v>1641</v>
      </c>
      <c r="H34" s="118" t="s">
        <v>306</v>
      </c>
      <c r="I34" s="117" t="s">
        <v>91</v>
      </c>
      <c r="J34" s="168" t="s">
        <v>15</v>
      </c>
      <c r="K34" s="171" t="s">
        <v>15</v>
      </c>
      <c r="L34" s="118" t="s">
        <v>369</v>
      </c>
      <c r="M34" s="170" t="s">
        <v>17</v>
      </c>
      <c r="N34" s="117" t="s">
        <v>270</v>
      </c>
      <c r="O34" s="193" t="s">
        <v>735</v>
      </c>
      <c r="P34" s="118" t="s">
        <v>43</v>
      </c>
      <c r="Q34" s="183" t="s">
        <v>184</v>
      </c>
      <c r="R34" s="183" t="s">
        <v>507</v>
      </c>
      <c r="S34" s="183" t="s">
        <v>184</v>
      </c>
      <c r="T34" s="183" t="s">
        <v>184</v>
      </c>
      <c r="U34" s="183" t="s">
        <v>184</v>
      </c>
      <c r="V34" s="183" t="s">
        <v>184</v>
      </c>
      <c r="W34" s="183" t="s">
        <v>184</v>
      </c>
      <c r="X34" s="389" t="s">
        <v>1465</v>
      </c>
      <c r="Y34" s="389" t="s">
        <v>1466</v>
      </c>
    </row>
    <row r="35" spans="1:26" ht="28" customHeight="1" thickBot="1" x14ac:dyDescent="0.35">
      <c r="A35" s="125" t="s">
        <v>315</v>
      </c>
      <c r="B35" s="175" t="s">
        <v>68</v>
      </c>
      <c r="C35" s="175" t="s">
        <v>69</v>
      </c>
      <c r="D35" s="126" t="s">
        <v>437</v>
      </c>
      <c r="E35" s="126" t="s">
        <v>1231</v>
      </c>
      <c r="F35" s="126" t="s">
        <v>107</v>
      </c>
      <c r="G35" s="118" t="s">
        <v>1641</v>
      </c>
      <c r="H35" s="126" t="s">
        <v>122</v>
      </c>
      <c r="I35" s="125" t="s">
        <v>42</v>
      </c>
      <c r="J35" s="126" t="s">
        <v>15</v>
      </c>
      <c r="K35" s="126" t="s">
        <v>27</v>
      </c>
      <c r="L35" s="145" t="s">
        <v>369</v>
      </c>
      <c r="M35" s="175" t="s">
        <v>17</v>
      </c>
      <c r="N35" s="175" t="s">
        <v>29</v>
      </c>
      <c r="O35" s="121" t="s">
        <v>735</v>
      </c>
      <c r="P35" s="130" t="s">
        <v>30</v>
      </c>
      <c r="Q35" s="123" t="s">
        <v>184</v>
      </c>
      <c r="R35" s="123" t="s">
        <v>184</v>
      </c>
      <c r="S35" s="132" t="s">
        <v>190</v>
      </c>
      <c r="T35" s="131" t="s">
        <v>30</v>
      </c>
      <c r="U35" s="183" t="s">
        <v>184</v>
      </c>
      <c r="V35" s="123" t="s">
        <v>184</v>
      </c>
      <c r="W35" s="123" t="s">
        <v>184</v>
      </c>
      <c r="X35" s="389" t="s">
        <v>1467</v>
      </c>
      <c r="Y35" s="389" t="s">
        <v>1468</v>
      </c>
      <c r="Z35" s="116" t="s">
        <v>369</v>
      </c>
    </row>
    <row r="36" spans="1:26" ht="28" customHeight="1" thickBot="1" x14ac:dyDescent="0.35">
      <c r="A36" s="117" t="s">
        <v>709</v>
      </c>
      <c r="B36" s="170" t="s">
        <v>710</v>
      </c>
      <c r="C36" s="170" t="s">
        <v>247</v>
      </c>
      <c r="D36" s="171" t="s">
        <v>425</v>
      </c>
      <c r="E36" s="171" t="s">
        <v>713</v>
      </c>
      <c r="F36" s="194" t="s">
        <v>711</v>
      </c>
      <c r="G36" s="118" t="s">
        <v>1641</v>
      </c>
      <c r="H36" s="195" t="s">
        <v>712</v>
      </c>
      <c r="I36" s="117" t="s">
        <v>91</v>
      </c>
      <c r="J36" s="168" t="s">
        <v>15</v>
      </c>
      <c r="K36" s="168" t="s">
        <v>723</v>
      </c>
      <c r="L36" s="168" t="s">
        <v>369</v>
      </c>
      <c r="M36" s="170" t="s">
        <v>717</v>
      </c>
      <c r="N36" s="170" t="s">
        <v>718</v>
      </c>
      <c r="O36" s="121" t="s">
        <v>735</v>
      </c>
      <c r="P36" s="168" t="s">
        <v>43</v>
      </c>
      <c r="Q36" s="123" t="s">
        <v>184</v>
      </c>
      <c r="R36" s="123" t="s">
        <v>184</v>
      </c>
      <c r="S36" s="123" t="s">
        <v>184</v>
      </c>
      <c r="T36" s="123" t="s">
        <v>184</v>
      </c>
      <c r="U36" s="157" t="s">
        <v>30</v>
      </c>
      <c r="V36" s="123" t="s">
        <v>184</v>
      </c>
      <c r="W36" s="123" t="s">
        <v>184</v>
      </c>
      <c r="X36" s="389" t="s">
        <v>1469</v>
      </c>
      <c r="Y36" s="389" t="s">
        <v>1470</v>
      </c>
      <c r="Z36" s="116" t="s">
        <v>369</v>
      </c>
    </row>
    <row r="37" spans="1:26" ht="28" customHeight="1" thickBot="1" x14ac:dyDescent="0.35">
      <c r="A37" s="125" t="s">
        <v>855</v>
      </c>
      <c r="B37" s="175" t="s">
        <v>848</v>
      </c>
      <c r="C37" s="175" t="s">
        <v>822</v>
      </c>
      <c r="D37" s="125" t="s">
        <v>427</v>
      </c>
      <c r="E37" s="125" t="s">
        <v>850</v>
      </c>
      <c r="F37" s="125" t="s">
        <v>711</v>
      </c>
      <c r="G37" s="118" t="s">
        <v>1641</v>
      </c>
      <c r="H37" s="125" t="s">
        <v>779</v>
      </c>
      <c r="I37" s="125" t="s">
        <v>91</v>
      </c>
      <c r="J37" s="145" t="s">
        <v>15</v>
      </c>
      <c r="K37" s="180" t="s">
        <v>15</v>
      </c>
      <c r="L37" s="145" t="s">
        <v>369</v>
      </c>
      <c r="M37" s="175" t="s">
        <v>82</v>
      </c>
      <c r="N37" s="175" t="s">
        <v>300</v>
      </c>
      <c r="O37" s="138" t="s">
        <v>735</v>
      </c>
      <c r="P37" s="168" t="s">
        <v>43</v>
      </c>
      <c r="Q37" s="123" t="s">
        <v>184</v>
      </c>
      <c r="R37" s="123" t="s">
        <v>184</v>
      </c>
      <c r="S37" s="123" t="s">
        <v>184</v>
      </c>
      <c r="T37" s="123" t="s">
        <v>184</v>
      </c>
      <c r="U37" s="123" t="s">
        <v>184</v>
      </c>
      <c r="V37" s="123" t="s">
        <v>184</v>
      </c>
      <c r="W37" s="123" t="s">
        <v>184</v>
      </c>
      <c r="X37" s="389" t="s">
        <v>1471</v>
      </c>
      <c r="Y37" s="389" t="s">
        <v>1472</v>
      </c>
    </row>
    <row r="38" spans="1:26" ht="28" customHeight="1" thickBot="1" x14ac:dyDescent="0.35">
      <c r="A38" s="133" t="s">
        <v>764</v>
      </c>
      <c r="B38" s="196" t="s">
        <v>765</v>
      </c>
      <c r="C38" s="175" t="s">
        <v>766</v>
      </c>
      <c r="D38" s="125" t="s">
        <v>427</v>
      </c>
      <c r="E38" s="125" t="s">
        <v>769</v>
      </c>
      <c r="F38" s="125" t="s">
        <v>711</v>
      </c>
      <c r="G38" s="118" t="s">
        <v>1641</v>
      </c>
      <c r="H38" s="125" t="s">
        <v>767</v>
      </c>
      <c r="I38" s="175" t="s">
        <v>91</v>
      </c>
      <c r="J38" s="145" t="s">
        <v>15</v>
      </c>
      <c r="K38" s="145" t="s">
        <v>723</v>
      </c>
      <c r="L38" s="145" t="s">
        <v>370</v>
      </c>
      <c r="M38" s="175" t="s">
        <v>770</v>
      </c>
      <c r="N38" s="133" t="s">
        <v>771</v>
      </c>
      <c r="O38" s="118" t="s">
        <v>735</v>
      </c>
      <c r="P38" s="168" t="s">
        <v>43</v>
      </c>
      <c r="Q38" s="197" t="s">
        <v>30</v>
      </c>
      <c r="R38" s="183" t="s">
        <v>184</v>
      </c>
      <c r="S38" s="183" t="s">
        <v>184</v>
      </c>
      <c r="T38" s="183" t="s">
        <v>184</v>
      </c>
      <c r="U38" s="197" t="s">
        <v>30</v>
      </c>
      <c r="V38" s="183" t="s">
        <v>184</v>
      </c>
      <c r="W38" s="183" t="s">
        <v>184</v>
      </c>
      <c r="X38" s="389" t="s">
        <v>1473</v>
      </c>
      <c r="Y38" s="389" t="s">
        <v>1534</v>
      </c>
    </row>
    <row r="39" spans="1:26" ht="28" customHeight="1" thickBot="1" x14ac:dyDescent="0.35">
      <c r="A39" s="125" t="s">
        <v>774</v>
      </c>
      <c r="B39" s="175" t="s">
        <v>765</v>
      </c>
      <c r="C39" s="175" t="s">
        <v>766</v>
      </c>
      <c r="D39" s="125" t="s">
        <v>427</v>
      </c>
      <c r="E39" s="125" t="s">
        <v>769</v>
      </c>
      <c r="F39" s="125" t="s">
        <v>711</v>
      </c>
      <c r="G39" s="118" t="s">
        <v>1641</v>
      </c>
      <c r="H39" s="125" t="s">
        <v>767</v>
      </c>
      <c r="I39" s="175" t="s">
        <v>91</v>
      </c>
      <c r="J39" s="145" t="s">
        <v>15</v>
      </c>
      <c r="K39" s="126" t="s">
        <v>723</v>
      </c>
      <c r="L39" s="145" t="s">
        <v>370</v>
      </c>
      <c r="M39" s="175" t="s">
        <v>770</v>
      </c>
      <c r="N39" s="125" t="s">
        <v>775</v>
      </c>
      <c r="O39" s="138" t="s">
        <v>735</v>
      </c>
      <c r="P39" s="168" t="s">
        <v>43</v>
      </c>
      <c r="Q39" s="197" t="s">
        <v>30</v>
      </c>
      <c r="R39" s="183" t="s">
        <v>184</v>
      </c>
      <c r="S39" s="183" t="s">
        <v>184</v>
      </c>
      <c r="T39" s="183" t="s">
        <v>184</v>
      </c>
      <c r="U39" s="197" t="s">
        <v>30</v>
      </c>
      <c r="V39" s="123" t="s">
        <v>184</v>
      </c>
      <c r="W39" s="183" t="s">
        <v>184</v>
      </c>
      <c r="X39" s="389" t="s">
        <v>1473</v>
      </c>
      <c r="Y39" s="389" t="s">
        <v>1535</v>
      </c>
    </row>
    <row r="40" spans="1:26" ht="28" customHeight="1" thickBot="1" x14ac:dyDescent="0.35">
      <c r="A40" s="117" t="s">
        <v>900</v>
      </c>
      <c r="B40" s="170" t="s">
        <v>94</v>
      </c>
      <c r="C40" s="170" t="s">
        <v>75</v>
      </c>
      <c r="D40" s="118" t="s">
        <v>76</v>
      </c>
      <c r="E40" s="118" t="s">
        <v>298</v>
      </c>
      <c r="F40" s="168" t="s">
        <v>107</v>
      </c>
      <c r="G40" s="118" t="s">
        <v>1641</v>
      </c>
      <c r="H40" s="168" t="s">
        <v>304</v>
      </c>
      <c r="I40" s="170" t="s">
        <v>91</v>
      </c>
      <c r="J40" s="168" t="s">
        <v>92</v>
      </c>
      <c r="K40" s="130" t="s">
        <v>15</v>
      </c>
      <c r="L40" s="118" t="s">
        <v>370</v>
      </c>
      <c r="M40" s="117" t="s">
        <v>308</v>
      </c>
      <c r="N40" s="170" t="s">
        <v>95</v>
      </c>
      <c r="O40" s="121" t="s">
        <v>735</v>
      </c>
      <c r="P40" s="130" t="s">
        <v>43</v>
      </c>
      <c r="Q40" s="198" t="s">
        <v>184</v>
      </c>
      <c r="R40" s="198" t="s">
        <v>184</v>
      </c>
      <c r="S40" s="198" t="s">
        <v>184</v>
      </c>
      <c r="T40" s="198" t="s">
        <v>184</v>
      </c>
      <c r="U40" s="199" t="s">
        <v>184</v>
      </c>
      <c r="V40" s="198" t="s">
        <v>184</v>
      </c>
      <c r="W40" s="198" t="s">
        <v>184</v>
      </c>
      <c r="X40" s="389" t="s">
        <v>1474</v>
      </c>
      <c r="Y40" s="389" t="s">
        <v>1475</v>
      </c>
    </row>
    <row r="41" spans="1:26" ht="28" customHeight="1" thickBot="1" x14ac:dyDescent="0.35">
      <c r="A41" s="117" t="s">
        <v>358</v>
      </c>
      <c r="B41" s="170" t="s">
        <v>94</v>
      </c>
      <c r="C41" s="170" t="s">
        <v>75</v>
      </c>
      <c r="D41" s="118" t="s">
        <v>76</v>
      </c>
      <c r="E41" s="118" t="s">
        <v>298</v>
      </c>
      <c r="F41" s="168" t="s">
        <v>107</v>
      </c>
      <c r="G41" s="118" t="s">
        <v>1641</v>
      </c>
      <c r="H41" s="168" t="s">
        <v>304</v>
      </c>
      <c r="I41" s="170" t="s">
        <v>91</v>
      </c>
      <c r="J41" s="168" t="s">
        <v>92</v>
      </c>
      <c r="K41" s="130" t="s">
        <v>15</v>
      </c>
      <c r="L41" s="118" t="s">
        <v>370</v>
      </c>
      <c r="M41" s="117" t="s">
        <v>308</v>
      </c>
      <c r="N41" s="170" t="s">
        <v>95</v>
      </c>
      <c r="O41" s="121" t="s">
        <v>735</v>
      </c>
      <c r="P41" s="130" t="s">
        <v>43</v>
      </c>
      <c r="Q41" s="141" t="s">
        <v>184</v>
      </c>
      <c r="R41" s="141" t="s">
        <v>184</v>
      </c>
      <c r="S41" s="198" t="s">
        <v>184</v>
      </c>
      <c r="T41" s="198" t="s">
        <v>184</v>
      </c>
      <c r="U41" s="198" t="s">
        <v>184</v>
      </c>
      <c r="V41" s="198" t="s">
        <v>184</v>
      </c>
      <c r="W41" s="141" t="s">
        <v>184</v>
      </c>
      <c r="X41" s="389" t="s">
        <v>1474</v>
      </c>
      <c r="Y41" s="389" t="s">
        <v>1476</v>
      </c>
    </row>
    <row r="42" spans="1:26" s="203" customFormat="1" ht="28" customHeight="1" thickBot="1" x14ac:dyDescent="0.35">
      <c r="A42" s="200" t="s">
        <v>243</v>
      </c>
      <c r="B42" s="117" t="s">
        <v>244</v>
      </c>
      <c r="C42" s="201" t="s">
        <v>75</v>
      </c>
      <c r="D42" s="118" t="s">
        <v>421</v>
      </c>
      <c r="E42" s="118" t="s">
        <v>302</v>
      </c>
      <c r="F42" s="202" t="s">
        <v>107</v>
      </c>
      <c r="G42" s="118" t="s">
        <v>1641</v>
      </c>
      <c r="H42" s="118" t="s">
        <v>278</v>
      </c>
      <c r="I42" s="192" t="s">
        <v>91</v>
      </c>
      <c r="J42" s="130" t="s">
        <v>15</v>
      </c>
      <c r="K42" s="137" t="s">
        <v>15</v>
      </c>
      <c r="L42" s="168" t="s">
        <v>369</v>
      </c>
      <c r="M42" s="170" t="s">
        <v>303</v>
      </c>
      <c r="N42" s="192" t="s">
        <v>245</v>
      </c>
      <c r="O42" s="159" t="s">
        <v>735</v>
      </c>
      <c r="P42" s="130" t="s">
        <v>43</v>
      </c>
      <c r="Q42" s="123" t="s">
        <v>184</v>
      </c>
      <c r="R42" s="123" t="s">
        <v>184</v>
      </c>
      <c r="S42" s="123" t="s">
        <v>184</v>
      </c>
      <c r="T42" s="123" t="s">
        <v>184</v>
      </c>
      <c r="U42" s="123" t="s">
        <v>184</v>
      </c>
      <c r="V42" s="131" t="s">
        <v>30</v>
      </c>
      <c r="W42" s="123" t="s">
        <v>184</v>
      </c>
      <c r="X42" s="392" t="s">
        <v>1477</v>
      </c>
      <c r="Y42" s="392" t="s">
        <v>1478</v>
      </c>
    </row>
    <row r="43" spans="1:26" s="203" customFormat="1" ht="28" customHeight="1" thickBot="1" x14ac:dyDescent="0.35">
      <c r="A43" s="204" t="s">
        <v>251</v>
      </c>
      <c r="B43" s="117" t="s">
        <v>252</v>
      </c>
      <c r="C43" s="205" t="s">
        <v>247</v>
      </c>
      <c r="D43" s="206" t="s">
        <v>579</v>
      </c>
      <c r="E43" s="206" t="s">
        <v>253</v>
      </c>
      <c r="F43" s="155" t="s">
        <v>280</v>
      </c>
      <c r="G43" s="118" t="s">
        <v>1641</v>
      </c>
      <c r="H43" s="206" t="s">
        <v>281</v>
      </c>
      <c r="I43" s="188" t="s">
        <v>91</v>
      </c>
      <c r="J43" s="137" t="s">
        <v>15</v>
      </c>
      <c r="K43" s="137" t="s">
        <v>15</v>
      </c>
      <c r="L43" s="168" t="s">
        <v>369</v>
      </c>
      <c r="M43" s="205" t="s">
        <v>254</v>
      </c>
      <c r="N43" s="117" t="s">
        <v>261</v>
      </c>
      <c r="O43" s="137" t="s">
        <v>735</v>
      </c>
      <c r="P43" s="130" t="s">
        <v>43</v>
      </c>
      <c r="Q43" s="123" t="s">
        <v>184</v>
      </c>
      <c r="R43" s="131" t="s">
        <v>30</v>
      </c>
      <c r="S43" s="123" t="s">
        <v>184</v>
      </c>
      <c r="T43" s="123" t="s">
        <v>184</v>
      </c>
      <c r="U43" s="123" t="s">
        <v>184</v>
      </c>
      <c r="V43" s="123" t="s">
        <v>184</v>
      </c>
      <c r="W43" s="123" t="s">
        <v>184</v>
      </c>
      <c r="X43" s="392" t="s">
        <v>1479</v>
      </c>
      <c r="Y43" s="389" t="s">
        <v>1536</v>
      </c>
    </row>
    <row r="44" spans="1:26" s="203" customFormat="1" ht="28" customHeight="1" thickBot="1" x14ac:dyDescent="0.35">
      <c r="A44" s="207" t="s">
        <v>259</v>
      </c>
      <c r="B44" s="117" t="s">
        <v>260</v>
      </c>
      <c r="C44" s="205" t="s">
        <v>247</v>
      </c>
      <c r="D44" s="208" t="s">
        <v>424</v>
      </c>
      <c r="E44" s="208" t="s">
        <v>256</v>
      </c>
      <c r="F44" s="155" t="s">
        <v>280</v>
      </c>
      <c r="G44" s="118" t="s">
        <v>1641</v>
      </c>
      <c r="H44" s="208" t="s">
        <v>282</v>
      </c>
      <c r="I44" s="188" t="s">
        <v>91</v>
      </c>
      <c r="J44" s="209" t="s">
        <v>15</v>
      </c>
      <c r="K44" s="209" t="s">
        <v>15</v>
      </c>
      <c r="L44" s="122" t="s">
        <v>369</v>
      </c>
      <c r="M44" s="117" t="s">
        <v>257</v>
      </c>
      <c r="N44" s="192" t="s">
        <v>261</v>
      </c>
      <c r="O44" s="159" t="s">
        <v>735</v>
      </c>
      <c r="P44" s="130" t="s">
        <v>43</v>
      </c>
      <c r="Q44" s="123" t="s">
        <v>184</v>
      </c>
      <c r="R44" s="123" t="s">
        <v>184</v>
      </c>
      <c r="S44" s="123" t="s">
        <v>184</v>
      </c>
      <c r="T44" s="123" t="s">
        <v>184</v>
      </c>
      <c r="U44" s="132" t="s">
        <v>190</v>
      </c>
      <c r="V44" s="123" t="s">
        <v>184</v>
      </c>
      <c r="W44" s="123" t="s">
        <v>184</v>
      </c>
      <c r="X44" s="392" t="s">
        <v>1481</v>
      </c>
      <c r="Y44" s="392" t="s">
        <v>1480</v>
      </c>
    </row>
    <row r="45" spans="1:26" ht="28" customHeight="1" thickBot="1" x14ac:dyDescent="0.35">
      <c r="A45" s="178" t="s">
        <v>883</v>
      </c>
      <c r="B45" s="125" t="s">
        <v>1482</v>
      </c>
      <c r="C45" s="191" t="s">
        <v>766</v>
      </c>
      <c r="D45" s="210" t="s">
        <v>884</v>
      </c>
      <c r="E45" s="210" t="s">
        <v>885</v>
      </c>
      <c r="F45" s="191" t="s">
        <v>778</v>
      </c>
      <c r="G45" s="118" t="s">
        <v>1641</v>
      </c>
      <c r="H45" s="125" t="s">
        <v>779</v>
      </c>
      <c r="I45" s="191" t="s">
        <v>91</v>
      </c>
      <c r="J45" s="211" t="s">
        <v>15</v>
      </c>
      <c r="K45" s="211" t="s">
        <v>63</v>
      </c>
      <c r="L45" s="177" t="s">
        <v>370</v>
      </c>
      <c r="M45" s="210" t="s">
        <v>336</v>
      </c>
      <c r="N45" s="170" t="s">
        <v>886</v>
      </c>
      <c r="O45" s="212" t="s">
        <v>52</v>
      </c>
      <c r="P45" s="212" t="s">
        <v>43</v>
      </c>
      <c r="Q45" s="123" t="s">
        <v>184</v>
      </c>
      <c r="R45" s="123" t="s">
        <v>184</v>
      </c>
      <c r="S45" s="123" t="s">
        <v>184</v>
      </c>
      <c r="T45" s="123" t="s">
        <v>184</v>
      </c>
      <c r="U45" s="123" t="s">
        <v>184</v>
      </c>
      <c r="V45" s="123" t="s">
        <v>184</v>
      </c>
      <c r="W45" s="123" t="s">
        <v>184</v>
      </c>
      <c r="X45" s="389" t="s">
        <v>1483</v>
      </c>
      <c r="Y45" s="389" t="s">
        <v>1484</v>
      </c>
    </row>
    <row r="46" spans="1:26" ht="28" customHeight="1" thickBot="1" x14ac:dyDescent="0.35">
      <c r="A46" s="205" t="s">
        <v>748</v>
      </c>
      <c r="B46" s="117" t="s">
        <v>749</v>
      </c>
      <c r="C46" s="213" t="s">
        <v>75</v>
      </c>
      <c r="D46" s="117" t="s">
        <v>750</v>
      </c>
      <c r="E46" s="117" t="s">
        <v>751</v>
      </c>
      <c r="F46" s="202" t="s">
        <v>688</v>
      </c>
      <c r="G46" s="118" t="s">
        <v>1642</v>
      </c>
      <c r="H46" s="117" t="s">
        <v>727</v>
      </c>
      <c r="I46" s="205" t="s">
        <v>91</v>
      </c>
      <c r="J46" s="118" t="s">
        <v>15</v>
      </c>
      <c r="K46" s="118" t="s">
        <v>722</v>
      </c>
      <c r="L46" s="155" t="s">
        <v>370</v>
      </c>
      <c r="M46" s="170" t="s">
        <v>696</v>
      </c>
      <c r="N46" s="170" t="s">
        <v>300</v>
      </c>
      <c r="O46" s="121" t="s">
        <v>736</v>
      </c>
      <c r="P46" s="168" t="s">
        <v>43</v>
      </c>
      <c r="Q46" s="123" t="s">
        <v>184</v>
      </c>
      <c r="R46" s="123" t="s">
        <v>184</v>
      </c>
      <c r="S46" s="123" t="s">
        <v>184</v>
      </c>
      <c r="T46" s="123" t="s">
        <v>184</v>
      </c>
      <c r="U46" s="123" t="s">
        <v>184</v>
      </c>
      <c r="V46" s="123" t="s">
        <v>184</v>
      </c>
      <c r="W46" s="123" t="s">
        <v>184</v>
      </c>
      <c r="X46" s="389" t="s">
        <v>1485</v>
      </c>
      <c r="Y46" s="389" t="s">
        <v>1486</v>
      </c>
    </row>
    <row r="47" spans="1:26" ht="28" customHeight="1" thickBot="1" x14ac:dyDescent="0.35">
      <c r="A47" s="175" t="s">
        <v>175</v>
      </c>
      <c r="B47" s="125" t="s">
        <v>1487</v>
      </c>
      <c r="C47" s="191" t="s">
        <v>54</v>
      </c>
      <c r="D47" s="211" t="s">
        <v>443</v>
      </c>
      <c r="E47" s="211" t="s">
        <v>21</v>
      </c>
      <c r="F47" s="151" t="s">
        <v>116</v>
      </c>
      <c r="G47" s="118" t="s">
        <v>1641</v>
      </c>
      <c r="H47" s="211" t="s">
        <v>111</v>
      </c>
      <c r="I47" s="191" t="s">
        <v>13</v>
      </c>
      <c r="J47" s="211" t="s">
        <v>14</v>
      </c>
      <c r="K47" s="211" t="s">
        <v>15</v>
      </c>
      <c r="L47" s="151" t="s">
        <v>369</v>
      </c>
      <c r="M47" s="178" t="s">
        <v>55</v>
      </c>
      <c r="N47" s="175" t="s">
        <v>56</v>
      </c>
      <c r="O47" s="214" t="s">
        <v>735</v>
      </c>
      <c r="P47" s="122" t="s">
        <v>43</v>
      </c>
      <c r="Q47" s="131" t="s">
        <v>30</v>
      </c>
      <c r="R47" s="131" t="s">
        <v>30</v>
      </c>
      <c r="S47" s="123" t="s">
        <v>184</v>
      </c>
      <c r="T47" s="123" t="s">
        <v>184</v>
      </c>
      <c r="U47" s="132" t="s">
        <v>190</v>
      </c>
      <c r="V47" s="131" t="s">
        <v>30</v>
      </c>
      <c r="W47" s="123" t="s">
        <v>184</v>
      </c>
      <c r="X47" s="389" t="s">
        <v>1488</v>
      </c>
    </row>
    <row r="48" spans="1:26" ht="28" customHeight="1" thickBot="1" x14ac:dyDescent="0.35">
      <c r="A48" s="125" t="s">
        <v>316</v>
      </c>
      <c r="B48" s="175" t="s">
        <v>80</v>
      </c>
      <c r="C48" s="180" t="s">
        <v>75</v>
      </c>
      <c r="D48" s="118" t="s">
        <v>317</v>
      </c>
      <c r="E48" s="118" t="s">
        <v>81</v>
      </c>
      <c r="F48" s="171" t="s">
        <v>107</v>
      </c>
      <c r="G48" s="118" t="s">
        <v>1641</v>
      </c>
      <c r="H48" s="118" t="s">
        <v>127</v>
      </c>
      <c r="I48" s="125" t="s">
        <v>13</v>
      </c>
      <c r="J48" s="145" t="s">
        <v>15</v>
      </c>
      <c r="K48" s="145" t="s">
        <v>15</v>
      </c>
      <c r="L48" s="145" t="s">
        <v>370</v>
      </c>
      <c r="M48" s="175" t="s">
        <v>82</v>
      </c>
      <c r="N48" s="175" t="s">
        <v>83</v>
      </c>
      <c r="O48" s="159" t="s">
        <v>735</v>
      </c>
      <c r="P48" s="130" t="s">
        <v>43</v>
      </c>
      <c r="Q48" s="215" t="s">
        <v>184</v>
      </c>
      <c r="R48" s="215" t="s">
        <v>184</v>
      </c>
      <c r="S48" s="215" t="s">
        <v>184</v>
      </c>
      <c r="T48" s="215" t="s">
        <v>184</v>
      </c>
      <c r="U48" s="215" t="s">
        <v>184</v>
      </c>
      <c r="V48" s="215" t="s">
        <v>184</v>
      </c>
      <c r="W48" s="215" t="s">
        <v>184</v>
      </c>
      <c r="X48" s="389" t="s">
        <v>1489</v>
      </c>
      <c r="Y48" s="389" t="s">
        <v>1490</v>
      </c>
    </row>
    <row r="49" spans="1:26" ht="28" customHeight="1" thickBot="1" x14ac:dyDescent="0.35">
      <c r="A49" s="117" t="s">
        <v>360</v>
      </c>
      <c r="B49" s="170" t="s">
        <v>262</v>
      </c>
      <c r="C49" s="117" t="s">
        <v>247</v>
      </c>
      <c r="D49" s="118" t="s">
        <v>425</v>
      </c>
      <c r="E49" s="118" t="s">
        <v>323</v>
      </c>
      <c r="F49" s="168" t="s">
        <v>283</v>
      </c>
      <c r="G49" s="118" t="s">
        <v>1641</v>
      </c>
      <c r="H49" s="168" t="s">
        <v>284</v>
      </c>
      <c r="I49" s="216" t="s">
        <v>91</v>
      </c>
      <c r="J49" s="130" t="s">
        <v>15</v>
      </c>
      <c r="K49" s="130" t="s">
        <v>15</v>
      </c>
      <c r="L49" s="168" t="s">
        <v>369</v>
      </c>
      <c r="M49" s="192" t="s">
        <v>263</v>
      </c>
      <c r="N49" s="170"/>
      <c r="O49" s="159" t="s">
        <v>735</v>
      </c>
      <c r="P49" s="130" t="s">
        <v>43</v>
      </c>
      <c r="Q49" s="215" t="s">
        <v>184</v>
      </c>
      <c r="R49" s="215" t="s">
        <v>184</v>
      </c>
      <c r="S49" s="215" t="s">
        <v>184</v>
      </c>
      <c r="T49" s="215" t="s">
        <v>184</v>
      </c>
      <c r="U49" s="217" t="s">
        <v>190</v>
      </c>
      <c r="V49" s="215" t="s">
        <v>184</v>
      </c>
      <c r="W49" s="215" t="s">
        <v>184</v>
      </c>
      <c r="X49" s="389" t="s">
        <v>1491</v>
      </c>
      <c r="Y49" s="389" t="s">
        <v>1492</v>
      </c>
    </row>
    <row r="50" spans="1:26" ht="28" customHeight="1" thickBot="1" x14ac:dyDescent="0.35">
      <c r="A50" s="133" t="s">
        <v>858</v>
      </c>
      <c r="B50" s="125" t="s">
        <v>860</v>
      </c>
      <c r="C50" s="125" t="s">
        <v>822</v>
      </c>
      <c r="D50" s="125" t="s">
        <v>427</v>
      </c>
      <c r="E50" s="125" t="s">
        <v>861</v>
      </c>
      <c r="F50" s="175" t="s">
        <v>711</v>
      </c>
      <c r="G50" s="118" t="s">
        <v>1641</v>
      </c>
      <c r="H50" s="175" t="s">
        <v>779</v>
      </c>
      <c r="I50" s="125" t="s">
        <v>91</v>
      </c>
      <c r="J50" s="145" t="s">
        <v>15</v>
      </c>
      <c r="K50" s="145" t="s">
        <v>15</v>
      </c>
      <c r="L50" s="145" t="s">
        <v>370</v>
      </c>
      <c r="M50" s="175" t="s">
        <v>859</v>
      </c>
      <c r="N50" s="175" t="s">
        <v>864</v>
      </c>
      <c r="O50" s="159" t="s">
        <v>735</v>
      </c>
      <c r="P50" s="159" t="s">
        <v>43</v>
      </c>
      <c r="Q50" s="215" t="s">
        <v>184</v>
      </c>
      <c r="R50" s="215" t="s">
        <v>184</v>
      </c>
      <c r="S50" s="215" t="s">
        <v>184</v>
      </c>
      <c r="T50" s="215" t="s">
        <v>184</v>
      </c>
      <c r="U50" s="215" t="s">
        <v>184</v>
      </c>
      <c r="V50" s="215" t="s">
        <v>184</v>
      </c>
      <c r="W50" s="215" t="s">
        <v>184</v>
      </c>
      <c r="X50" s="389" t="s">
        <v>1493</v>
      </c>
      <c r="Y50" s="389" t="s">
        <v>1494</v>
      </c>
    </row>
    <row r="51" spans="1:26" ht="28" customHeight="1" thickBot="1" x14ac:dyDescent="0.35">
      <c r="A51" s="133" t="s">
        <v>862</v>
      </c>
      <c r="B51" s="125" t="s">
        <v>860</v>
      </c>
      <c r="C51" s="125" t="s">
        <v>822</v>
      </c>
      <c r="D51" s="125" t="s">
        <v>427</v>
      </c>
      <c r="E51" s="125" t="s">
        <v>861</v>
      </c>
      <c r="F51" s="175" t="s">
        <v>711</v>
      </c>
      <c r="G51" s="118" t="s">
        <v>1641</v>
      </c>
      <c r="H51" s="175" t="s">
        <v>779</v>
      </c>
      <c r="I51" s="125" t="s">
        <v>91</v>
      </c>
      <c r="J51" s="145" t="s">
        <v>15</v>
      </c>
      <c r="K51" s="145" t="s">
        <v>15</v>
      </c>
      <c r="L51" s="145" t="s">
        <v>370</v>
      </c>
      <c r="M51" s="125" t="s">
        <v>859</v>
      </c>
      <c r="N51" s="175" t="s">
        <v>864</v>
      </c>
      <c r="O51" s="159" t="s">
        <v>735</v>
      </c>
      <c r="P51" s="159" t="s">
        <v>43</v>
      </c>
      <c r="Q51" s="215" t="s">
        <v>184</v>
      </c>
      <c r="R51" s="215" t="s">
        <v>184</v>
      </c>
      <c r="S51" s="215" t="s">
        <v>184</v>
      </c>
      <c r="T51" s="215" t="s">
        <v>184</v>
      </c>
      <c r="U51" s="215" t="s">
        <v>184</v>
      </c>
      <c r="V51" s="215" t="s">
        <v>184</v>
      </c>
      <c r="W51" s="215" t="s">
        <v>184</v>
      </c>
      <c r="X51" s="389" t="s">
        <v>1493</v>
      </c>
      <c r="Y51" s="389" t="s">
        <v>1495</v>
      </c>
    </row>
    <row r="52" spans="1:26" ht="28" customHeight="1" thickBot="1" x14ac:dyDescent="0.35">
      <c r="A52" s="218" t="s">
        <v>359</v>
      </c>
      <c r="B52" s="117" t="s">
        <v>255</v>
      </c>
      <c r="C52" s="117" t="s">
        <v>247</v>
      </c>
      <c r="D52" s="118" t="s">
        <v>423</v>
      </c>
      <c r="E52" s="118" t="s">
        <v>256</v>
      </c>
      <c r="F52" s="168" t="s">
        <v>280</v>
      </c>
      <c r="G52" s="118" t="s">
        <v>1641</v>
      </c>
      <c r="H52" s="168" t="s">
        <v>307</v>
      </c>
      <c r="I52" s="216" t="s">
        <v>91</v>
      </c>
      <c r="J52" s="130" t="s">
        <v>15</v>
      </c>
      <c r="K52" s="130" t="s">
        <v>15</v>
      </c>
      <c r="L52" s="168" t="s">
        <v>369</v>
      </c>
      <c r="M52" s="117" t="s">
        <v>257</v>
      </c>
      <c r="N52" s="170" t="s">
        <v>258</v>
      </c>
      <c r="O52" s="159" t="s">
        <v>735</v>
      </c>
      <c r="P52" s="130" t="s">
        <v>43</v>
      </c>
      <c r="Q52" s="215" t="s">
        <v>184</v>
      </c>
      <c r="R52" s="215" t="s">
        <v>184</v>
      </c>
      <c r="S52" s="215" t="s">
        <v>184</v>
      </c>
      <c r="T52" s="215" t="s">
        <v>184</v>
      </c>
      <c r="U52" s="123" t="s">
        <v>184</v>
      </c>
      <c r="V52" s="123" t="s">
        <v>184</v>
      </c>
      <c r="W52" s="123" t="s">
        <v>184</v>
      </c>
      <c r="X52" s="389" t="s">
        <v>1496</v>
      </c>
      <c r="Y52" s="389" t="s">
        <v>1497</v>
      </c>
      <c r="Z52" s="116" t="s">
        <v>369</v>
      </c>
    </row>
    <row r="53" spans="1:26" ht="25" customHeight="1" thickBot="1" x14ac:dyDescent="0.35">
      <c r="A53" s="218" t="s">
        <v>1112</v>
      </c>
      <c r="B53" s="117" t="s">
        <v>1113</v>
      </c>
      <c r="C53" s="117" t="s">
        <v>247</v>
      </c>
      <c r="D53" s="118" t="s">
        <v>1122</v>
      </c>
      <c r="E53" s="118" t="s">
        <v>1131</v>
      </c>
      <c r="F53" s="168" t="s">
        <v>711</v>
      </c>
      <c r="G53" s="118" t="s">
        <v>1641</v>
      </c>
      <c r="H53" s="168" t="s">
        <v>812</v>
      </c>
      <c r="I53" s="216" t="s">
        <v>91</v>
      </c>
      <c r="J53" s="130" t="s">
        <v>15</v>
      </c>
      <c r="K53" s="130" t="s">
        <v>723</v>
      </c>
      <c r="L53" s="168" t="s">
        <v>370</v>
      </c>
      <c r="M53" s="117" t="s">
        <v>1114</v>
      </c>
      <c r="N53" s="170" t="s">
        <v>1115</v>
      </c>
      <c r="O53" s="159" t="s">
        <v>735</v>
      </c>
      <c r="P53" s="130" t="s">
        <v>43</v>
      </c>
      <c r="Q53" s="215" t="s">
        <v>184</v>
      </c>
      <c r="R53" s="215" t="s">
        <v>184</v>
      </c>
      <c r="S53" s="215" t="s">
        <v>184</v>
      </c>
      <c r="T53" s="215" t="s">
        <v>184</v>
      </c>
      <c r="U53" s="217" t="s">
        <v>190</v>
      </c>
      <c r="V53" s="215" t="s">
        <v>184</v>
      </c>
      <c r="W53" s="215" t="s">
        <v>184</v>
      </c>
      <c r="X53" s="389" t="s">
        <v>1498</v>
      </c>
      <c r="Y53" s="389" t="s">
        <v>1499</v>
      </c>
    </row>
    <row r="54" spans="1:26" ht="140.5" thickBot="1" x14ac:dyDescent="0.35">
      <c r="A54" s="218" t="s">
        <v>1406</v>
      </c>
      <c r="B54" s="117" t="s">
        <v>1408</v>
      </c>
      <c r="C54" s="117" t="s">
        <v>247</v>
      </c>
      <c r="D54" s="118" t="s">
        <v>1407</v>
      </c>
      <c r="E54" s="118" t="s">
        <v>1132</v>
      </c>
      <c r="F54" s="168" t="s">
        <v>711</v>
      </c>
      <c r="G54" s="118" t="s">
        <v>1641</v>
      </c>
      <c r="H54" s="168" t="s">
        <v>812</v>
      </c>
      <c r="I54" s="216" t="s">
        <v>91</v>
      </c>
      <c r="J54" s="130" t="s">
        <v>15</v>
      </c>
      <c r="K54" s="130" t="s">
        <v>723</v>
      </c>
      <c r="L54" s="168" t="s">
        <v>369</v>
      </c>
      <c r="M54" s="117" t="s">
        <v>1123</v>
      </c>
      <c r="N54" s="170" t="s">
        <v>1115</v>
      </c>
      <c r="O54" s="159" t="s">
        <v>735</v>
      </c>
      <c r="P54" s="130" t="s">
        <v>43</v>
      </c>
      <c r="Q54" s="215" t="s">
        <v>184</v>
      </c>
      <c r="R54" s="215" t="s">
        <v>184</v>
      </c>
      <c r="S54" s="215" t="s">
        <v>184</v>
      </c>
      <c r="T54" s="215" t="s">
        <v>184</v>
      </c>
      <c r="U54" s="131" t="s">
        <v>30</v>
      </c>
      <c r="V54" s="215" t="s">
        <v>184</v>
      </c>
      <c r="W54" s="215" t="s">
        <v>184</v>
      </c>
      <c r="X54" s="389" t="s">
        <v>1500</v>
      </c>
      <c r="Y54" s="389" t="s">
        <v>1501</v>
      </c>
    </row>
    <row r="55" spans="1:26" ht="41.25" customHeight="1" thickBot="1" x14ac:dyDescent="0.35">
      <c r="A55" s="218" t="s">
        <v>1179</v>
      </c>
      <c r="B55" s="117" t="s">
        <v>1185</v>
      </c>
      <c r="C55" s="117" t="s">
        <v>247</v>
      </c>
      <c r="D55" s="118" t="s">
        <v>1184</v>
      </c>
      <c r="E55" s="118" t="s">
        <v>1134</v>
      </c>
      <c r="F55" s="168" t="s">
        <v>711</v>
      </c>
      <c r="G55" s="118" t="s">
        <v>1641</v>
      </c>
      <c r="H55" s="168" t="s">
        <v>779</v>
      </c>
      <c r="I55" s="216" t="s">
        <v>91</v>
      </c>
      <c r="J55" s="130" t="s">
        <v>15</v>
      </c>
      <c r="K55" s="130" t="s">
        <v>723</v>
      </c>
      <c r="L55" s="168" t="s">
        <v>369</v>
      </c>
      <c r="M55" s="117" t="s">
        <v>1127</v>
      </c>
      <c r="N55" s="170" t="s">
        <v>864</v>
      </c>
      <c r="O55" s="159" t="s">
        <v>735</v>
      </c>
      <c r="P55" s="130" t="s">
        <v>43</v>
      </c>
      <c r="Q55" s="215" t="s">
        <v>184</v>
      </c>
      <c r="R55" s="215" t="s">
        <v>184</v>
      </c>
      <c r="S55" s="215" t="s">
        <v>184</v>
      </c>
      <c r="T55" s="215" t="s">
        <v>184</v>
      </c>
      <c r="U55" s="123" t="s">
        <v>184</v>
      </c>
      <c r="V55" s="123" t="s">
        <v>184</v>
      </c>
      <c r="W55" s="123" t="s">
        <v>184</v>
      </c>
      <c r="X55" s="389" t="s">
        <v>1502</v>
      </c>
      <c r="Y55" s="389" t="s">
        <v>1503</v>
      </c>
    </row>
    <row r="56" spans="1:26" ht="26.15" customHeight="1" thickBot="1" x14ac:dyDescent="0.35">
      <c r="A56" s="116" t="s">
        <v>1152</v>
      </c>
      <c r="B56" s="191" t="s">
        <v>1153</v>
      </c>
      <c r="C56" s="337" t="s">
        <v>247</v>
      </c>
      <c r="D56" s="338" t="s">
        <v>1154</v>
      </c>
      <c r="E56" s="338" t="s">
        <v>1155</v>
      </c>
      <c r="F56" s="339" t="s">
        <v>778</v>
      </c>
      <c r="G56" s="118" t="s">
        <v>1641</v>
      </c>
      <c r="H56" s="340" t="s">
        <v>779</v>
      </c>
      <c r="I56" s="341" t="s">
        <v>91</v>
      </c>
      <c r="J56" s="339" t="s">
        <v>15</v>
      </c>
      <c r="K56" s="339" t="s">
        <v>723</v>
      </c>
      <c r="L56" s="339" t="s">
        <v>370</v>
      </c>
      <c r="M56" s="344" t="s">
        <v>336</v>
      </c>
      <c r="N56" s="342" t="s">
        <v>886</v>
      </c>
      <c r="O56" s="193" t="s">
        <v>52</v>
      </c>
      <c r="P56" s="193" t="s">
        <v>43</v>
      </c>
      <c r="Q56" s="215" t="s">
        <v>184</v>
      </c>
      <c r="R56" s="215" t="s">
        <v>184</v>
      </c>
      <c r="S56" s="215" t="s">
        <v>184</v>
      </c>
      <c r="T56" s="215" t="s">
        <v>184</v>
      </c>
      <c r="U56" s="131" t="s">
        <v>30</v>
      </c>
      <c r="V56" s="215" t="s">
        <v>184</v>
      </c>
      <c r="W56" s="215" t="s">
        <v>184</v>
      </c>
      <c r="X56" s="389" t="s">
        <v>1504</v>
      </c>
      <c r="Y56" s="389" t="s">
        <v>1505</v>
      </c>
    </row>
    <row r="57" spans="1:26" ht="57" customHeight="1" thickBot="1" x14ac:dyDescent="0.35">
      <c r="A57" s="116" t="s">
        <v>1259</v>
      </c>
      <c r="B57" s="191" t="s">
        <v>1260</v>
      </c>
      <c r="C57" s="191" t="s">
        <v>1174</v>
      </c>
      <c r="D57" s="116" t="s">
        <v>1261</v>
      </c>
      <c r="E57" s="116" t="s">
        <v>1175</v>
      </c>
      <c r="F57" s="168" t="s">
        <v>711</v>
      </c>
      <c r="G57" s="118" t="s">
        <v>1641</v>
      </c>
      <c r="H57" s="191" t="s">
        <v>779</v>
      </c>
      <c r="I57" s="116" t="s">
        <v>91</v>
      </c>
      <c r="J57" s="193" t="s">
        <v>15</v>
      </c>
      <c r="K57" s="193" t="s">
        <v>15</v>
      </c>
      <c r="L57" s="193" t="s">
        <v>370</v>
      </c>
      <c r="M57" s="191" t="s">
        <v>696</v>
      </c>
      <c r="N57" s="170" t="s">
        <v>95</v>
      </c>
      <c r="O57" s="159" t="s">
        <v>735</v>
      </c>
      <c r="P57" s="130" t="s">
        <v>43</v>
      </c>
      <c r="Q57" s="215" t="s">
        <v>184</v>
      </c>
      <c r="R57" s="215" t="s">
        <v>184</v>
      </c>
      <c r="S57" s="215" t="s">
        <v>184</v>
      </c>
      <c r="T57" s="215" t="s">
        <v>184</v>
      </c>
      <c r="U57" s="123" t="s">
        <v>184</v>
      </c>
      <c r="V57" s="123" t="s">
        <v>184</v>
      </c>
      <c r="W57" s="123" t="s">
        <v>184</v>
      </c>
      <c r="X57" s="389" t="s">
        <v>1508</v>
      </c>
      <c r="Y57" s="389" t="s">
        <v>1506</v>
      </c>
    </row>
    <row r="58" spans="1:26" ht="75.75" customHeight="1" thickBot="1" x14ac:dyDescent="0.35">
      <c r="A58" s="116" t="s">
        <v>1256</v>
      </c>
      <c r="B58" s="191" t="s">
        <v>1251</v>
      </c>
      <c r="C58" s="191" t="s">
        <v>247</v>
      </c>
      <c r="D58" s="191" t="s">
        <v>1255</v>
      </c>
      <c r="E58" s="191" t="s">
        <v>1252</v>
      </c>
      <c r="F58" s="191" t="s">
        <v>688</v>
      </c>
      <c r="G58" s="118" t="s">
        <v>1642</v>
      </c>
      <c r="H58" s="191" t="s">
        <v>1253</v>
      </c>
      <c r="I58" s="191" t="s">
        <v>91</v>
      </c>
      <c r="J58" s="151" t="s">
        <v>15</v>
      </c>
      <c r="K58" s="151" t="s">
        <v>15</v>
      </c>
      <c r="L58" s="151" t="s">
        <v>369</v>
      </c>
      <c r="M58" s="191" t="s">
        <v>336</v>
      </c>
      <c r="N58" s="170" t="s">
        <v>1254</v>
      </c>
      <c r="O58" s="193" t="s">
        <v>736</v>
      </c>
      <c r="P58" s="193" t="s">
        <v>43</v>
      </c>
      <c r="Q58" s="215" t="s">
        <v>184</v>
      </c>
      <c r="R58" s="215" t="s">
        <v>184</v>
      </c>
      <c r="S58" s="215" t="s">
        <v>184</v>
      </c>
      <c r="T58" s="215" t="s">
        <v>184</v>
      </c>
      <c r="U58" s="123" t="s">
        <v>184</v>
      </c>
      <c r="V58" s="123" t="s">
        <v>184</v>
      </c>
      <c r="W58" s="123" t="s">
        <v>184</v>
      </c>
      <c r="X58" s="389" t="s">
        <v>1509</v>
      </c>
      <c r="Y58" s="389" t="s">
        <v>1507</v>
      </c>
    </row>
    <row r="59" spans="1:26" ht="112.5" thickBot="1" x14ac:dyDescent="0.35">
      <c r="A59" s="116" t="s">
        <v>1191</v>
      </c>
      <c r="B59" s="191" t="s">
        <v>1193</v>
      </c>
      <c r="C59" s="191" t="s">
        <v>247</v>
      </c>
      <c r="D59" s="191" t="s">
        <v>432</v>
      </c>
      <c r="E59" s="191" t="s">
        <v>769</v>
      </c>
      <c r="F59" s="116" t="s">
        <v>1194</v>
      </c>
      <c r="G59" s="118" t="s">
        <v>1641</v>
      </c>
      <c r="H59" s="191" t="s">
        <v>1195</v>
      </c>
      <c r="I59" s="116" t="s">
        <v>91</v>
      </c>
      <c r="J59" s="193" t="s">
        <v>15</v>
      </c>
      <c r="K59" s="193" t="s">
        <v>63</v>
      </c>
      <c r="L59" s="193" t="s">
        <v>370</v>
      </c>
      <c r="M59" s="191" t="s">
        <v>1196</v>
      </c>
      <c r="N59" s="170" t="s">
        <v>1197</v>
      </c>
      <c r="O59" s="193" t="s">
        <v>52</v>
      </c>
      <c r="P59" s="193" t="s">
        <v>43</v>
      </c>
      <c r="Q59" s="215" t="s">
        <v>184</v>
      </c>
      <c r="R59" s="215" t="s">
        <v>184</v>
      </c>
      <c r="S59" s="215" t="s">
        <v>184</v>
      </c>
      <c r="T59" s="215" t="s">
        <v>184</v>
      </c>
      <c r="U59" s="131" t="s">
        <v>30</v>
      </c>
      <c r="V59" s="215" t="s">
        <v>184</v>
      </c>
      <c r="W59" s="215" t="s">
        <v>184</v>
      </c>
      <c r="X59" s="389" t="s">
        <v>1510</v>
      </c>
      <c r="Y59" s="389" t="s">
        <v>1511</v>
      </c>
    </row>
    <row r="60" spans="1:26" ht="112.5" thickBot="1" x14ac:dyDescent="0.35">
      <c r="A60" s="116" t="s">
        <v>1192</v>
      </c>
      <c r="B60" s="191" t="s">
        <v>1193</v>
      </c>
      <c r="C60" s="191" t="s">
        <v>247</v>
      </c>
      <c r="D60" s="191" t="s">
        <v>432</v>
      </c>
      <c r="E60" s="191" t="s">
        <v>769</v>
      </c>
      <c r="F60" s="116" t="s">
        <v>1194</v>
      </c>
      <c r="G60" s="118" t="s">
        <v>1641</v>
      </c>
      <c r="H60" s="191" t="s">
        <v>1195</v>
      </c>
      <c r="I60" s="116" t="s">
        <v>91</v>
      </c>
      <c r="J60" s="193" t="s">
        <v>15</v>
      </c>
      <c r="K60" s="193" t="s">
        <v>63</v>
      </c>
      <c r="L60" s="193" t="s">
        <v>370</v>
      </c>
      <c r="M60" s="191" t="s">
        <v>1196</v>
      </c>
      <c r="N60" s="170" t="s">
        <v>1197</v>
      </c>
      <c r="O60" s="193" t="s">
        <v>52</v>
      </c>
      <c r="P60" s="193" t="s">
        <v>43</v>
      </c>
      <c r="Q60" s="215" t="s">
        <v>184</v>
      </c>
      <c r="R60" s="215" t="s">
        <v>184</v>
      </c>
      <c r="S60" s="215" t="s">
        <v>184</v>
      </c>
      <c r="T60" s="215" t="s">
        <v>184</v>
      </c>
      <c r="U60" s="131" t="s">
        <v>30</v>
      </c>
      <c r="V60" s="215" t="s">
        <v>184</v>
      </c>
      <c r="W60" s="215" t="s">
        <v>184</v>
      </c>
      <c r="X60" s="389" t="s">
        <v>1510</v>
      </c>
      <c r="Y60" s="389" t="s">
        <v>1512</v>
      </c>
    </row>
    <row r="61" spans="1:26" ht="112.5" thickBot="1" x14ac:dyDescent="0.35">
      <c r="A61" s="116" t="s">
        <v>1203</v>
      </c>
      <c r="B61" s="191" t="s">
        <v>1204</v>
      </c>
      <c r="C61" s="191" t="s">
        <v>247</v>
      </c>
      <c r="D61" s="191" t="s">
        <v>1411</v>
      </c>
      <c r="E61" s="191" t="s">
        <v>1205</v>
      </c>
      <c r="F61" s="116" t="s">
        <v>1194</v>
      </c>
      <c r="G61" s="118" t="s">
        <v>1641</v>
      </c>
      <c r="H61" s="191" t="s">
        <v>1195</v>
      </c>
      <c r="I61" s="116" t="s">
        <v>91</v>
      </c>
      <c r="J61" s="193" t="s">
        <v>15</v>
      </c>
      <c r="K61" s="193" t="s">
        <v>63</v>
      </c>
      <c r="L61" s="193" t="s">
        <v>369</v>
      </c>
      <c r="M61" s="191" t="s">
        <v>1223</v>
      </c>
      <c r="N61" s="170" t="s">
        <v>1197</v>
      </c>
      <c r="O61" s="193" t="s">
        <v>52</v>
      </c>
      <c r="P61" s="193" t="s">
        <v>43</v>
      </c>
      <c r="Q61" s="215" t="s">
        <v>184</v>
      </c>
      <c r="R61" s="215" t="s">
        <v>184</v>
      </c>
      <c r="S61" s="215" t="s">
        <v>184</v>
      </c>
      <c r="T61" s="215" t="s">
        <v>184</v>
      </c>
      <c r="U61" s="131" t="s">
        <v>30</v>
      </c>
      <c r="V61" s="131" t="s">
        <v>30</v>
      </c>
      <c r="W61" s="215" t="s">
        <v>184</v>
      </c>
      <c r="X61" s="389" t="s">
        <v>1513</v>
      </c>
      <c r="Y61" s="389" t="s">
        <v>1514</v>
      </c>
    </row>
    <row r="62" spans="1:26" ht="98.5" thickBot="1" x14ac:dyDescent="0.35">
      <c r="A62" s="116" t="s">
        <v>1211</v>
      </c>
      <c r="B62" s="191" t="s">
        <v>1210</v>
      </c>
      <c r="C62" s="191" t="s">
        <v>247</v>
      </c>
      <c r="D62" s="191" t="s">
        <v>429</v>
      </c>
      <c r="E62" s="191" t="s">
        <v>1217</v>
      </c>
      <c r="F62" s="116" t="s">
        <v>1212</v>
      </c>
      <c r="G62" s="118" t="s">
        <v>1641</v>
      </c>
      <c r="H62" s="191" t="s">
        <v>812</v>
      </c>
      <c r="I62" s="116" t="s">
        <v>91</v>
      </c>
      <c r="J62" s="193" t="s">
        <v>15</v>
      </c>
      <c r="K62" s="193" t="s">
        <v>15</v>
      </c>
      <c r="L62" s="193" t="s">
        <v>370</v>
      </c>
      <c r="M62" s="191" t="s">
        <v>1214</v>
      </c>
      <c r="N62" s="191" t="s">
        <v>1213</v>
      </c>
      <c r="O62" s="193" t="s">
        <v>735</v>
      </c>
      <c r="P62" s="193" t="s">
        <v>43</v>
      </c>
      <c r="Q62" s="215" t="s">
        <v>184</v>
      </c>
      <c r="R62" s="215" t="s">
        <v>184</v>
      </c>
      <c r="S62" s="215" t="s">
        <v>184</v>
      </c>
      <c r="T62" s="215" t="s">
        <v>184</v>
      </c>
      <c r="U62" s="123" t="s">
        <v>184</v>
      </c>
      <c r="V62" s="123" t="s">
        <v>184</v>
      </c>
      <c r="W62" s="123" t="s">
        <v>184</v>
      </c>
      <c r="X62" s="389" t="s">
        <v>1515</v>
      </c>
      <c r="Y62" s="389" t="s">
        <v>1516</v>
      </c>
    </row>
    <row r="63" spans="1:26" s="191" customFormat="1" ht="70.5" thickBot="1" x14ac:dyDescent="0.4">
      <c r="A63" s="191" t="s">
        <v>1240</v>
      </c>
      <c r="B63" s="191" t="s">
        <v>1238</v>
      </c>
      <c r="C63" s="191" t="s">
        <v>247</v>
      </c>
      <c r="D63" s="191" t="s">
        <v>1239</v>
      </c>
      <c r="E63" s="191" t="s">
        <v>1242</v>
      </c>
      <c r="F63" s="191" t="s">
        <v>280</v>
      </c>
      <c r="G63" s="118" t="s">
        <v>1641</v>
      </c>
      <c r="H63" s="191" t="s">
        <v>1195</v>
      </c>
      <c r="I63" s="191" t="s">
        <v>91</v>
      </c>
      <c r="J63" s="151" t="s">
        <v>15</v>
      </c>
      <c r="K63" s="151" t="s">
        <v>27</v>
      </c>
      <c r="L63" s="151" t="s">
        <v>370</v>
      </c>
      <c r="M63" s="191" t="s">
        <v>1248</v>
      </c>
      <c r="N63" s="191" t="s">
        <v>1249</v>
      </c>
      <c r="O63" s="151" t="s">
        <v>735</v>
      </c>
      <c r="P63" s="151" t="s">
        <v>43</v>
      </c>
      <c r="Q63" s="10" t="s">
        <v>184</v>
      </c>
      <c r="R63" s="10" t="s">
        <v>184</v>
      </c>
      <c r="S63" s="59" t="s">
        <v>184</v>
      </c>
      <c r="T63" s="59" t="s">
        <v>184</v>
      </c>
      <c r="U63" s="10" t="s">
        <v>184</v>
      </c>
      <c r="V63" s="10" t="s">
        <v>184</v>
      </c>
      <c r="W63" s="10" t="s">
        <v>184</v>
      </c>
      <c r="X63" s="391" t="s">
        <v>1517</v>
      </c>
      <c r="Y63" s="391" t="s">
        <v>1518</v>
      </c>
    </row>
    <row r="64" spans="1:26" s="191" customFormat="1" ht="98.5" thickBot="1" x14ac:dyDescent="0.4">
      <c r="A64" s="191" t="s">
        <v>1262</v>
      </c>
      <c r="B64" s="191" t="s">
        <v>1263</v>
      </c>
      <c r="C64" s="191" t="s">
        <v>247</v>
      </c>
      <c r="D64" s="191" t="s">
        <v>427</v>
      </c>
      <c r="E64" s="191" t="s">
        <v>1264</v>
      </c>
      <c r="F64" s="168" t="s">
        <v>711</v>
      </c>
      <c r="G64" s="118" t="s">
        <v>1641</v>
      </c>
      <c r="H64" s="191" t="s">
        <v>1265</v>
      </c>
      <c r="I64" s="191" t="s">
        <v>91</v>
      </c>
      <c r="J64" s="151" t="s">
        <v>15</v>
      </c>
      <c r="K64" s="151" t="s">
        <v>15</v>
      </c>
      <c r="L64" s="151" t="s">
        <v>369</v>
      </c>
      <c r="M64" s="191" t="s">
        <v>1266</v>
      </c>
      <c r="N64" s="170" t="s">
        <v>1249</v>
      </c>
      <c r="O64" s="151" t="s">
        <v>735</v>
      </c>
      <c r="P64" s="151" t="s">
        <v>43</v>
      </c>
      <c r="Q64" s="10" t="s">
        <v>184</v>
      </c>
      <c r="R64" s="10" t="s">
        <v>184</v>
      </c>
      <c r="S64" s="59" t="s">
        <v>184</v>
      </c>
      <c r="T64" s="59" t="s">
        <v>184</v>
      </c>
      <c r="U64" s="10" t="s">
        <v>184</v>
      </c>
      <c r="V64" s="10" t="s">
        <v>184</v>
      </c>
      <c r="W64" s="10" t="s">
        <v>184</v>
      </c>
      <c r="X64" s="391" t="s">
        <v>1519</v>
      </c>
      <c r="Y64" s="391" t="s">
        <v>1520</v>
      </c>
    </row>
    <row r="65" spans="1:26" s="191" customFormat="1" ht="104.25" customHeight="1" thickBot="1" x14ac:dyDescent="0.4">
      <c r="A65" s="191" t="s">
        <v>1655</v>
      </c>
      <c r="B65" s="191" t="s">
        <v>1271</v>
      </c>
      <c r="C65" s="191" t="s">
        <v>247</v>
      </c>
      <c r="D65" s="191" t="s">
        <v>1656</v>
      </c>
      <c r="E65" s="191" t="s">
        <v>1299</v>
      </c>
      <c r="F65" s="191" t="s">
        <v>688</v>
      </c>
      <c r="G65" s="118" t="s">
        <v>1642</v>
      </c>
      <c r="H65" s="191" t="s">
        <v>1272</v>
      </c>
      <c r="I65" s="191" t="s">
        <v>91</v>
      </c>
      <c r="J65" s="151" t="s">
        <v>15</v>
      </c>
      <c r="K65" s="151" t="s">
        <v>15</v>
      </c>
      <c r="L65" s="151" t="s">
        <v>370</v>
      </c>
      <c r="M65" s="191" t="s">
        <v>859</v>
      </c>
      <c r="N65" s="191" t="s">
        <v>864</v>
      </c>
      <c r="O65" s="151" t="s">
        <v>736</v>
      </c>
      <c r="P65" s="151" t="s">
        <v>43</v>
      </c>
      <c r="Q65" s="10" t="s">
        <v>184</v>
      </c>
      <c r="R65" s="10" t="s">
        <v>184</v>
      </c>
      <c r="S65" s="59" t="s">
        <v>184</v>
      </c>
      <c r="T65" s="59" t="s">
        <v>184</v>
      </c>
      <c r="U65" s="10" t="s">
        <v>184</v>
      </c>
      <c r="V65" s="10" t="s">
        <v>184</v>
      </c>
      <c r="W65" s="10" t="s">
        <v>184</v>
      </c>
      <c r="X65" s="391" t="s">
        <v>1657</v>
      </c>
      <c r="Y65" s="391" t="s">
        <v>1522</v>
      </c>
    </row>
    <row r="66" spans="1:26" s="191" customFormat="1" ht="134.25" customHeight="1" thickBot="1" x14ac:dyDescent="0.35">
      <c r="A66" s="191" t="s">
        <v>1278</v>
      </c>
      <c r="B66" s="191" t="s">
        <v>1279</v>
      </c>
      <c r="C66" s="191" t="s">
        <v>1280</v>
      </c>
      <c r="D66" s="191" t="s">
        <v>1281</v>
      </c>
      <c r="E66" s="191" t="s">
        <v>1282</v>
      </c>
      <c r="F66" s="191" t="s">
        <v>280</v>
      </c>
      <c r="G66" s="118" t="s">
        <v>1641</v>
      </c>
      <c r="H66" s="191" t="s">
        <v>1283</v>
      </c>
      <c r="I66" s="191" t="s">
        <v>91</v>
      </c>
      <c r="J66" s="151" t="s">
        <v>15</v>
      </c>
      <c r="K66" s="151" t="s">
        <v>15</v>
      </c>
      <c r="L66" s="151" t="s">
        <v>370</v>
      </c>
      <c r="M66" s="191" t="s">
        <v>1284</v>
      </c>
      <c r="N66" s="191" t="s">
        <v>1285</v>
      </c>
      <c r="O66" s="151" t="s">
        <v>735</v>
      </c>
      <c r="P66" s="151" t="s">
        <v>43</v>
      </c>
      <c r="Q66" s="215" t="s">
        <v>184</v>
      </c>
      <c r="R66" s="215" t="s">
        <v>184</v>
      </c>
      <c r="S66" s="215" t="s">
        <v>184</v>
      </c>
      <c r="T66" s="215" t="s">
        <v>184</v>
      </c>
      <c r="U66" s="131" t="s">
        <v>30</v>
      </c>
      <c r="V66" s="215" t="s">
        <v>184</v>
      </c>
      <c r="W66" s="215" t="s">
        <v>184</v>
      </c>
      <c r="X66" s="391" t="s">
        <v>1521</v>
      </c>
      <c r="Y66" s="391" t="s">
        <v>1524</v>
      </c>
    </row>
    <row r="67" spans="1:26" s="191" customFormat="1" ht="82.5" customHeight="1" thickBot="1" x14ac:dyDescent="0.35">
      <c r="A67" s="191" t="s">
        <v>1625</v>
      </c>
      <c r="B67" s="191" t="s">
        <v>1626</v>
      </c>
      <c r="C67" s="191" t="s">
        <v>247</v>
      </c>
      <c r="D67" s="191" t="s">
        <v>430</v>
      </c>
      <c r="E67" s="191" t="s">
        <v>745</v>
      </c>
      <c r="F67" s="191" t="s">
        <v>778</v>
      </c>
      <c r="G67" s="118" t="s">
        <v>1641</v>
      </c>
      <c r="H67" s="191" t="s">
        <v>1301</v>
      </c>
      <c r="I67" s="191" t="s">
        <v>91</v>
      </c>
      <c r="J67" s="151" t="s">
        <v>15</v>
      </c>
      <c r="K67" s="151" t="s">
        <v>15</v>
      </c>
      <c r="L67" s="151" t="s">
        <v>370</v>
      </c>
      <c r="M67" s="191" t="s">
        <v>1300</v>
      </c>
      <c r="N67" s="191" t="s">
        <v>1249</v>
      </c>
      <c r="O67" s="151" t="s">
        <v>52</v>
      </c>
      <c r="P67" s="151" t="s">
        <v>43</v>
      </c>
      <c r="Q67" s="215" t="s">
        <v>184</v>
      </c>
      <c r="R67" s="215" t="s">
        <v>184</v>
      </c>
      <c r="S67" s="215" t="s">
        <v>184</v>
      </c>
      <c r="T67" s="215" t="s">
        <v>184</v>
      </c>
      <c r="U67" s="131" t="s">
        <v>30</v>
      </c>
      <c r="V67" s="215" t="s">
        <v>184</v>
      </c>
      <c r="W67" s="215" t="s">
        <v>184</v>
      </c>
      <c r="X67" s="391" t="s">
        <v>1634</v>
      </c>
      <c r="Y67" s="391" t="s">
        <v>1523</v>
      </c>
    </row>
    <row r="68" spans="1:26" s="191" customFormat="1" ht="153.75" customHeight="1" thickBot="1" x14ac:dyDescent="0.35">
      <c r="A68" s="191" t="s">
        <v>1312</v>
      </c>
      <c r="B68" s="191" t="s">
        <v>1313</v>
      </c>
      <c r="C68" s="191" t="s">
        <v>1314</v>
      </c>
      <c r="D68" s="191" t="s">
        <v>1332</v>
      </c>
      <c r="E68" s="191" t="s">
        <v>1315</v>
      </c>
      <c r="F68" s="191" t="s">
        <v>1194</v>
      </c>
      <c r="G68" s="118" t="s">
        <v>1641</v>
      </c>
      <c r="H68" s="191" t="s">
        <v>1301</v>
      </c>
      <c r="I68" s="191" t="s">
        <v>91</v>
      </c>
      <c r="J68" s="151" t="s">
        <v>15</v>
      </c>
      <c r="K68" s="151" t="s">
        <v>15</v>
      </c>
      <c r="L68" s="151" t="s">
        <v>369</v>
      </c>
      <c r="M68" s="191" t="s">
        <v>1316</v>
      </c>
      <c r="N68" s="191" t="s">
        <v>1317</v>
      </c>
      <c r="O68" s="151" t="s">
        <v>52</v>
      </c>
      <c r="P68" s="151" t="s">
        <v>43</v>
      </c>
      <c r="Q68" s="131" t="s">
        <v>30</v>
      </c>
      <c r="R68" s="131" t="s">
        <v>30</v>
      </c>
      <c r="S68" s="215" t="s">
        <v>184</v>
      </c>
      <c r="T68" s="215" t="s">
        <v>184</v>
      </c>
      <c r="U68" s="215" t="s">
        <v>184</v>
      </c>
      <c r="V68" s="131" t="s">
        <v>30</v>
      </c>
      <c r="W68" s="215" t="s">
        <v>184</v>
      </c>
      <c r="X68" s="391" t="s">
        <v>1525</v>
      </c>
      <c r="Y68" s="391" t="s">
        <v>1526</v>
      </c>
    </row>
    <row r="69" spans="1:26" s="191" customFormat="1" ht="122.25" customHeight="1" thickBot="1" x14ac:dyDescent="0.4">
      <c r="A69" s="191" t="s">
        <v>1573</v>
      </c>
      <c r="B69" s="191" t="s">
        <v>1574</v>
      </c>
      <c r="C69" s="191" t="s">
        <v>247</v>
      </c>
      <c r="D69" s="191" t="s">
        <v>1575</v>
      </c>
      <c r="E69" s="191" t="s">
        <v>1325</v>
      </c>
      <c r="F69" s="191" t="s">
        <v>711</v>
      </c>
      <c r="G69" s="118" t="s">
        <v>1641</v>
      </c>
      <c r="H69" s="191" t="s">
        <v>1301</v>
      </c>
      <c r="I69" s="191" t="s">
        <v>91</v>
      </c>
      <c r="J69" s="151" t="s">
        <v>15</v>
      </c>
      <c r="K69" s="151" t="s">
        <v>27</v>
      </c>
      <c r="L69" s="151" t="s">
        <v>369</v>
      </c>
      <c r="M69" s="191" t="s">
        <v>1327</v>
      </c>
      <c r="N69" s="191" t="s">
        <v>1326</v>
      </c>
      <c r="O69" s="151" t="s">
        <v>735</v>
      </c>
      <c r="P69" s="151" t="s">
        <v>43</v>
      </c>
      <c r="Q69" s="10" t="s">
        <v>184</v>
      </c>
      <c r="R69" s="10" t="s">
        <v>184</v>
      </c>
      <c r="S69" s="59" t="s">
        <v>184</v>
      </c>
      <c r="T69" s="59" t="s">
        <v>184</v>
      </c>
      <c r="U69" s="10" t="s">
        <v>184</v>
      </c>
      <c r="V69" s="10" t="s">
        <v>184</v>
      </c>
      <c r="W69" s="10" t="s">
        <v>184</v>
      </c>
      <c r="X69" s="191">
        <v>35871814</v>
      </c>
      <c r="Y69" s="391" t="s">
        <v>1527</v>
      </c>
    </row>
    <row r="70" spans="1:26" s="191" customFormat="1" ht="84.5" thickBot="1" x14ac:dyDescent="0.35">
      <c r="A70" s="191" t="s">
        <v>1335</v>
      </c>
      <c r="B70" s="191" t="s">
        <v>1336</v>
      </c>
      <c r="C70" s="191" t="s">
        <v>247</v>
      </c>
      <c r="D70" s="191" t="s">
        <v>430</v>
      </c>
      <c r="E70" s="191" t="s">
        <v>1337</v>
      </c>
      <c r="F70" s="191" t="s">
        <v>711</v>
      </c>
      <c r="G70" s="118" t="s">
        <v>1641</v>
      </c>
      <c r="H70" s="191" t="s">
        <v>1301</v>
      </c>
      <c r="I70" s="191" t="s">
        <v>91</v>
      </c>
      <c r="J70" s="151" t="s">
        <v>15</v>
      </c>
      <c r="K70" s="151" t="s">
        <v>15</v>
      </c>
      <c r="L70" s="151" t="s">
        <v>370</v>
      </c>
      <c r="M70" s="191" t="s">
        <v>1127</v>
      </c>
      <c r="N70" s="191" t="s">
        <v>864</v>
      </c>
      <c r="O70" s="151" t="s">
        <v>735</v>
      </c>
      <c r="P70" s="151" t="s">
        <v>43</v>
      </c>
      <c r="Q70" s="215" t="s">
        <v>184</v>
      </c>
      <c r="R70" s="215" t="s">
        <v>184</v>
      </c>
      <c r="S70" s="215" t="s">
        <v>184</v>
      </c>
      <c r="T70" s="215" t="s">
        <v>184</v>
      </c>
      <c r="U70" s="131" t="s">
        <v>30</v>
      </c>
      <c r="V70" s="215" t="s">
        <v>184</v>
      </c>
      <c r="W70" s="215" t="s">
        <v>184</v>
      </c>
      <c r="X70" s="391"/>
      <c r="Y70" s="391" t="s">
        <v>1528</v>
      </c>
    </row>
    <row r="71" spans="1:26" s="191" customFormat="1" ht="57.75" customHeight="1" thickBot="1" x14ac:dyDescent="0.35">
      <c r="A71" s="191" t="s">
        <v>1866</v>
      </c>
      <c r="B71" s="191" t="s">
        <v>1868</v>
      </c>
      <c r="C71" s="191" t="s">
        <v>247</v>
      </c>
      <c r="D71" s="191" t="s">
        <v>1869</v>
      </c>
      <c r="E71" s="191" t="s">
        <v>769</v>
      </c>
      <c r="F71" s="191" t="s">
        <v>711</v>
      </c>
      <c r="G71" s="118" t="s">
        <v>1641</v>
      </c>
      <c r="H71" s="191" t="s">
        <v>1347</v>
      </c>
      <c r="I71" s="191" t="s">
        <v>91</v>
      </c>
      <c r="J71" s="151" t="s">
        <v>15</v>
      </c>
      <c r="K71" s="151" t="s">
        <v>723</v>
      </c>
      <c r="L71" s="151" t="s">
        <v>370</v>
      </c>
      <c r="M71" s="191" t="s">
        <v>1348</v>
      </c>
      <c r="N71" s="191" t="s">
        <v>1349</v>
      </c>
      <c r="O71" s="151" t="s">
        <v>735</v>
      </c>
      <c r="P71" s="151" t="s">
        <v>43</v>
      </c>
      <c r="Q71" s="215" t="s">
        <v>184</v>
      </c>
      <c r="R71" s="215" t="s">
        <v>184</v>
      </c>
      <c r="S71" s="215" t="s">
        <v>184</v>
      </c>
      <c r="T71" s="215" t="s">
        <v>184</v>
      </c>
      <c r="U71" s="131" t="s">
        <v>30</v>
      </c>
      <c r="V71" s="215" t="s">
        <v>184</v>
      </c>
      <c r="W71" s="215" t="s">
        <v>184</v>
      </c>
      <c r="X71" s="391" t="s">
        <v>1874</v>
      </c>
      <c r="Y71" s="391" t="s">
        <v>1530</v>
      </c>
    </row>
    <row r="72" spans="1:26" s="191" customFormat="1" ht="57.75" customHeight="1" thickBot="1" x14ac:dyDescent="0.35">
      <c r="A72" s="191" t="s">
        <v>1867</v>
      </c>
      <c r="B72" s="191" t="s">
        <v>1868</v>
      </c>
      <c r="C72" s="191" t="s">
        <v>247</v>
      </c>
      <c r="D72" s="191" t="s">
        <v>1869</v>
      </c>
      <c r="E72" s="191" t="s">
        <v>769</v>
      </c>
      <c r="F72" s="191" t="s">
        <v>711</v>
      </c>
      <c r="G72" s="118" t="s">
        <v>1641</v>
      </c>
      <c r="H72" s="191" t="s">
        <v>1347</v>
      </c>
      <c r="I72" s="191" t="s">
        <v>91</v>
      </c>
      <c r="J72" s="151" t="s">
        <v>15</v>
      </c>
      <c r="K72" s="151" t="s">
        <v>723</v>
      </c>
      <c r="L72" s="151" t="s">
        <v>370</v>
      </c>
      <c r="M72" s="191" t="s">
        <v>1348</v>
      </c>
      <c r="N72" s="191" t="s">
        <v>1349</v>
      </c>
      <c r="O72" s="151" t="s">
        <v>735</v>
      </c>
      <c r="P72" s="151" t="s">
        <v>43</v>
      </c>
      <c r="Q72" s="215" t="s">
        <v>184</v>
      </c>
      <c r="R72" s="215" t="s">
        <v>184</v>
      </c>
      <c r="S72" s="215" t="s">
        <v>184</v>
      </c>
      <c r="T72" s="215" t="s">
        <v>184</v>
      </c>
      <c r="U72" s="131" t="s">
        <v>30</v>
      </c>
      <c r="V72" s="215" t="s">
        <v>184</v>
      </c>
      <c r="W72" s="215" t="s">
        <v>184</v>
      </c>
      <c r="X72" s="391" t="s">
        <v>1874</v>
      </c>
      <c r="Y72" s="391" t="s">
        <v>1530</v>
      </c>
    </row>
    <row r="73" spans="1:26" s="191" customFormat="1" ht="70.5" thickBot="1" x14ac:dyDescent="0.4">
      <c r="A73" s="191" t="s">
        <v>1627</v>
      </c>
      <c r="B73" s="191" t="s">
        <v>1628</v>
      </c>
      <c r="C73" s="191" t="s">
        <v>247</v>
      </c>
      <c r="D73" s="191" t="s">
        <v>430</v>
      </c>
      <c r="E73" s="191" t="s">
        <v>769</v>
      </c>
      <c r="F73" s="191" t="s">
        <v>711</v>
      </c>
      <c r="G73" s="118" t="s">
        <v>1641</v>
      </c>
      <c r="H73" s="191" t="s">
        <v>812</v>
      </c>
      <c r="I73" s="191" t="s">
        <v>91</v>
      </c>
      <c r="J73" s="151" t="s">
        <v>15</v>
      </c>
      <c r="K73" s="151" t="s">
        <v>723</v>
      </c>
      <c r="L73" s="151" t="s">
        <v>370</v>
      </c>
      <c r="M73" s="191" t="s">
        <v>1364</v>
      </c>
      <c r="N73" s="191" t="s">
        <v>1349</v>
      </c>
      <c r="O73" s="151" t="s">
        <v>735</v>
      </c>
      <c r="P73" s="151" t="s">
        <v>43</v>
      </c>
      <c r="Q73" s="10" t="s">
        <v>184</v>
      </c>
      <c r="R73" s="10" t="s">
        <v>184</v>
      </c>
      <c r="S73" s="59" t="s">
        <v>184</v>
      </c>
      <c r="T73" s="59" t="s">
        <v>184</v>
      </c>
      <c r="U73" s="10" t="s">
        <v>184</v>
      </c>
      <c r="V73" s="10" t="s">
        <v>184</v>
      </c>
      <c r="W73" s="10" t="s">
        <v>184</v>
      </c>
      <c r="X73" s="391" t="s">
        <v>1633</v>
      </c>
      <c r="Y73" s="391" t="s">
        <v>1529</v>
      </c>
    </row>
    <row r="74" spans="1:26" s="191" customFormat="1" ht="112.5" thickBot="1" x14ac:dyDescent="0.4">
      <c r="A74" s="191" t="s">
        <v>1717</v>
      </c>
      <c r="B74" s="191" t="s">
        <v>1718</v>
      </c>
      <c r="C74" s="191" t="s">
        <v>247</v>
      </c>
      <c r="D74" s="191" t="s">
        <v>1719</v>
      </c>
      <c r="E74" s="191" t="s">
        <v>1378</v>
      </c>
      <c r="F74" s="191" t="s">
        <v>711</v>
      </c>
      <c r="G74" s="118" t="s">
        <v>1641</v>
      </c>
      <c r="H74" s="191" t="s">
        <v>1379</v>
      </c>
      <c r="I74" s="191" t="s">
        <v>91</v>
      </c>
      <c r="J74" s="151" t="s">
        <v>15</v>
      </c>
      <c r="K74" s="151" t="s">
        <v>15</v>
      </c>
      <c r="L74" s="151" t="s">
        <v>369</v>
      </c>
      <c r="M74" s="191" t="s">
        <v>17</v>
      </c>
      <c r="N74" s="191" t="s">
        <v>1380</v>
      </c>
      <c r="O74" s="151" t="s">
        <v>735</v>
      </c>
      <c r="P74" s="151" t="s">
        <v>43</v>
      </c>
      <c r="Q74" s="131" t="s">
        <v>30</v>
      </c>
      <c r="R74" s="131" t="s">
        <v>30</v>
      </c>
      <c r="S74" s="59" t="s">
        <v>184</v>
      </c>
      <c r="T74" s="59" t="s">
        <v>184</v>
      </c>
      <c r="U74" s="131" t="s">
        <v>30</v>
      </c>
      <c r="V74" s="131" t="s">
        <v>30</v>
      </c>
      <c r="W74" s="10" t="s">
        <v>184</v>
      </c>
      <c r="X74" s="391" t="s">
        <v>1720</v>
      </c>
      <c r="Y74" s="391" t="s">
        <v>1531</v>
      </c>
    </row>
    <row r="75" spans="1:26" s="191" customFormat="1" ht="84.5" thickBot="1" x14ac:dyDescent="0.4">
      <c r="A75" s="191" t="s">
        <v>1387</v>
      </c>
      <c r="B75" s="191" t="s">
        <v>1388</v>
      </c>
      <c r="C75" s="191" t="s">
        <v>1389</v>
      </c>
      <c r="D75" s="191" t="s">
        <v>1576</v>
      </c>
      <c r="E75" s="191" t="s">
        <v>1390</v>
      </c>
      <c r="F75" s="191" t="s">
        <v>1391</v>
      </c>
      <c r="G75" s="118" t="s">
        <v>14</v>
      </c>
      <c r="H75" s="191" t="s">
        <v>812</v>
      </c>
      <c r="I75" s="191" t="s">
        <v>91</v>
      </c>
      <c r="J75" s="151" t="s">
        <v>15</v>
      </c>
      <c r="K75" s="151" t="s">
        <v>15</v>
      </c>
      <c r="L75" s="151" t="s">
        <v>369</v>
      </c>
      <c r="M75" s="191" t="s">
        <v>696</v>
      </c>
      <c r="N75" s="191" t="s">
        <v>864</v>
      </c>
      <c r="O75" s="151" t="s">
        <v>736</v>
      </c>
      <c r="P75" s="151" t="s">
        <v>43</v>
      </c>
      <c r="Q75" s="10" t="s">
        <v>184</v>
      </c>
      <c r="R75" s="10" t="s">
        <v>184</v>
      </c>
      <c r="S75" s="59" t="s">
        <v>184</v>
      </c>
      <c r="T75" s="59" t="s">
        <v>184</v>
      </c>
      <c r="U75" s="10" t="s">
        <v>184</v>
      </c>
      <c r="V75" s="10" t="s">
        <v>184</v>
      </c>
      <c r="W75" s="10" t="s">
        <v>184</v>
      </c>
      <c r="X75" s="391" t="s">
        <v>1635</v>
      </c>
      <c r="Y75" s="391" t="s">
        <v>1533</v>
      </c>
    </row>
    <row r="76" spans="1:26" s="191" customFormat="1" ht="140.5" thickBot="1" x14ac:dyDescent="0.4">
      <c r="A76" s="191" t="s">
        <v>1912</v>
      </c>
      <c r="B76" s="191" t="s">
        <v>1913</v>
      </c>
      <c r="C76" s="191" t="s">
        <v>59</v>
      </c>
      <c r="D76" s="191" t="s">
        <v>2181</v>
      </c>
      <c r="E76" s="191" t="s">
        <v>1399</v>
      </c>
      <c r="F76" s="191" t="s">
        <v>280</v>
      </c>
      <c r="G76" s="118" t="s">
        <v>1641</v>
      </c>
      <c r="H76" s="191" t="s">
        <v>1283</v>
      </c>
      <c r="I76" s="191" t="s">
        <v>91</v>
      </c>
      <c r="J76" s="151" t="s">
        <v>15</v>
      </c>
      <c r="K76" s="151" t="s">
        <v>15</v>
      </c>
      <c r="L76" s="151" t="s">
        <v>370</v>
      </c>
      <c r="M76" s="191" t="s">
        <v>1736</v>
      </c>
      <c r="N76" s="191" t="s">
        <v>1737</v>
      </c>
      <c r="O76" s="151" t="s">
        <v>735</v>
      </c>
      <c r="P76" s="151" t="s">
        <v>43</v>
      </c>
      <c r="Q76" s="10" t="s">
        <v>184</v>
      </c>
      <c r="R76" s="10" t="s">
        <v>184</v>
      </c>
      <c r="S76" s="59" t="s">
        <v>184</v>
      </c>
      <c r="T76" s="59" t="s">
        <v>184</v>
      </c>
      <c r="U76" s="60" t="s">
        <v>190</v>
      </c>
      <c r="V76" s="10" t="s">
        <v>184</v>
      </c>
      <c r="W76" s="10" t="s">
        <v>184</v>
      </c>
      <c r="X76" s="391"/>
      <c r="Y76" s="391" t="s">
        <v>1532</v>
      </c>
    </row>
    <row r="77" spans="1:26" s="191" customFormat="1" ht="84.5" thickBot="1" x14ac:dyDescent="0.4">
      <c r="A77" s="191" t="s">
        <v>1537</v>
      </c>
      <c r="B77" s="191" t="s">
        <v>1538</v>
      </c>
      <c r="C77" s="191" t="s">
        <v>1540</v>
      </c>
      <c r="D77" s="191" t="s">
        <v>430</v>
      </c>
      <c r="E77" s="191" t="s">
        <v>1541</v>
      </c>
      <c r="F77" s="191" t="s">
        <v>711</v>
      </c>
      <c r="G77" s="118" t="s">
        <v>1641</v>
      </c>
      <c r="H77" s="191" t="s">
        <v>1272</v>
      </c>
      <c r="I77" s="191" t="s">
        <v>91</v>
      </c>
      <c r="J77" s="151" t="s">
        <v>92</v>
      </c>
      <c r="K77" s="151" t="s">
        <v>92</v>
      </c>
      <c r="L77" s="151" t="s">
        <v>369</v>
      </c>
      <c r="M77" s="191" t="s">
        <v>1127</v>
      </c>
      <c r="N77" s="191" t="s">
        <v>864</v>
      </c>
      <c r="O77" s="151" t="s">
        <v>735</v>
      </c>
      <c r="P77" s="151" t="s">
        <v>43</v>
      </c>
      <c r="Q77" s="10" t="s">
        <v>184</v>
      </c>
      <c r="R77" s="10" t="s">
        <v>184</v>
      </c>
      <c r="S77" s="59" t="s">
        <v>184</v>
      </c>
      <c r="T77" s="59" t="s">
        <v>184</v>
      </c>
      <c r="U77" s="10" t="s">
        <v>184</v>
      </c>
      <c r="V77" s="10" t="s">
        <v>184</v>
      </c>
      <c r="W77" s="10" t="s">
        <v>184</v>
      </c>
      <c r="X77" s="391"/>
      <c r="Y77" s="391" t="s">
        <v>1539</v>
      </c>
    </row>
    <row r="78" spans="1:26" s="191" customFormat="1" ht="70.5" thickBot="1" x14ac:dyDescent="0.4">
      <c r="A78" s="191" t="s">
        <v>1658</v>
      </c>
      <c r="B78" s="191" t="s">
        <v>1548</v>
      </c>
      <c r="C78" s="191" t="s">
        <v>247</v>
      </c>
      <c r="D78" s="191" t="s">
        <v>430</v>
      </c>
      <c r="E78" s="191" t="s">
        <v>769</v>
      </c>
      <c r="F78" s="191" t="s">
        <v>1549</v>
      </c>
      <c r="G78" s="118" t="s">
        <v>1641</v>
      </c>
      <c r="H78" s="191" t="s">
        <v>1551</v>
      </c>
      <c r="I78" s="191" t="s">
        <v>91</v>
      </c>
      <c r="J78" s="151" t="s">
        <v>92</v>
      </c>
      <c r="K78" s="151" t="s">
        <v>92</v>
      </c>
      <c r="L78" s="151" t="s">
        <v>370</v>
      </c>
      <c r="M78" s="191" t="s">
        <v>336</v>
      </c>
      <c r="N78" s="191" t="s">
        <v>1550</v>
      </c>
      <c r="O78" s="151" t="s">
        <v>735</v>
      </c>
      <c r="P78" s="151" t="s">
        <v>43</v>
      </c>
      <c r="Q78" s="10" t="s">
        <v>184</v>
      </c>
      <c r="R78" s="10" t="s">
        <v>184</v>
      </c>
      <c r="S78" s="59" t="s">
        <v>184</v>
      </c>
      <c r="T78" s="59" t="s">
        <v>184</v>
      </c>
      <c r="U78" s="131" t="s">
        <v>30</v>
      </c>
      <c r="V78" s="10" t="s">
        <v>184</v>
      </c>
      <c r="W78" s="10" t="s">
        <v>184</v>
      </c>
      <c r="X78" s="391" t="s">
        <v>1659</v>
      </c>
      <c r="Y78" s="391" t="s">
        <v>1557</v>
      </c>
    </row>
    <row r="79" spans="1:26" s="191" customFormat="1" ht="70.5" thickBot="1" x14ac:dyDescent="0.4">
      <c r="A79" s="191" t="s">
        <v>1580</v>
      </c>
      <c r="B79" s="191" t="s">
        <v>1559</v>
      </c>
      <c r="C79" s="191" t="s">
        <v>1562</v>
      </c>
      <c r="D79" s="191" t="s">
        <v>1560</v>
      </c>
      <c r="E79" s="191" t="s">
        <v>769</v>
      </c>
      <c r="F79" s="191" t="s">
        <v>711</v>
      </c>
      <c r="G79" s="118" t="s">
        <v>1641</v>
      </c>
      <c r="H79" s="191" t="s">
        <v>1561</v>
      </c>
      <c r="I79" s="191" t="s">
        <v>12</v>
      </c>
      <c r="J79" s="151" t="s">
        <v>92</v>
      </c>
      <c r="K79" s="151" t="s">
        <v>92</v>
      </c>
      <c r="L79" s="151" t="s">
        <v>370</v>
      </c>
      <c r="M79" s="191" t="s">
        <v>249</v>
      </c>
      <c r="N79" s="191" t="s">
        <v>12</v>
      </c>
      <c r="O79" s="151" t="s">
        <v>735</v>
      </c>
      <c r="P79" s="151" t="s">
        <v>12</v>
      </c>
      <c r="Q79" s="57" t="s">
        <v>30</v>
      </c>
      <c r="R79" s="60" t="s">
        <v>190</v>
      </c>
      <c r="S79" s="60" t="s">
        <v>190</v>
      </c>
      <c r="T79" s="60" t="s">
        <v>190</v>
      </c>
      <c r="U79" s="131" t="s">
        <v>30</v>
      </c>
      <c r="V79" s="131" t="s">
        <v>30</v>
      </c>
      <c r="W79" s="131" t="s">
        <v>30</v>
      </c>
      <c r="X79" s="391"/>
      <c r="Y79" s="391"/>
    </row>
    <row r="80" spans="1:26" s="191" customFormat="1" ht="84.5" thickBot="1" x14ac:dyDescent="0.4">
      <c r="A80" s="191" t="s">
        <v>1637</v>
      </c>
      <c r="B80" s="191" t="s">
        <v>1564</v>
      </c>
      <c r="C80" s="191" t="s">
        <v>247</v>
      </c>
      <c r="D80" s="191" t="s">
        <v>430</v>
      </c>
      <c r="E80" s="191" t="s">
        <v>769</v>
      </c>
      <c r="F80" s="191" t="s">
        <v>778</v>
      </c>
      <c r="G80" s="118" t="s">
        <v>1641</v>
      </c>
      <c r="H80" s="191" t="s">
        <v>812</v>
      </c>
      <c r="I80" s="191" t="s">
        <v>91</v>
      </c>
      <c r="J80" s="151" t="s">
        <v>92</v>
      </c>
      <c r="K80" s="151" t="s">
        <v>92</v>
      </c>
      <c r="L80" s="151" t="s">
        <v>370</v>
      </c>
      <c r="M80" s="191" t="s">
        <v>859</v>
      </c>
      <c r="N80" s="170" t="s">
        <v>1565</v>
      </c>
      <c r="O80" s="151" t="s">
        <v>52</v>
      </c>
      <c r="P80" s="151" t="s">
        <v>43</v>
      </c>
      <c r="Q80" s="10" t="s">
        <v>184</v>
      </c>
      <c r="R80" s="10" t="s">
        <v>184</v>
      </c>
      <c r="S80" s="59" t="s">
        <v>184</v>
      </c>
      <c r="T80" s="59" t="s">
        <v>184</v>
      </c>
      <c r="U80" s="10" t="s">
        <v>184</v>
      </c>
      <c r="V80" s="10" t="s">
        <v>184</v>
      </c>
      <c r="W80" s="10" t="s">
        <v>184</v>
      </c>
      <c r="X80" s="391" t="s">
        <v>1636</v>
      </c>
      <c r="Y80" s="391" t="s">
        <v>1566</v>
      </c>
      <c r="Z80" s="191" t="s">
        <v>369</v>
      </c>
    </row>
    <row r="81" spans="1:26" s="191" customFormat="1" ht="84.5" thickBot="1" x14ac:dyDescent="0.4">
      <c r="A81" s="191" t="s">
        <v>1638</v>
      </c>
      <c r="B81" s="191" t="s">
        <v>1570</v>
      </c>
      <c r="C81" s="191" t="s">
        <v>247</v>
      </c>
      <c r="D81" s="191" t="s">
        <v>430</v>
      </c>
      <c r="E81" s="191" t="s">
        <v>769</v>
      </c>
      <c r="F81" s="191" t="s">
        <v>778</v>
      </c>
      <c r="G81" s="118" t="s">
        <v>1641</v>
      </c>
      <c r="H81" s="191" t="s">
        <v>812</v>
      </c>
      <c r="I81" s="191" t="s">
        <v>91</v>
      </c>
      <c r="J81" s="151" t="s">
        <v>92</v>
      </c>
      <c r="K81" s="151" t="s">
        <v>92</v>
      </c>
      <c r="L81" s="151" t="s">
        <v>370</v>
      </c>
      <c r="M81" s="191" t="s">
        <v>859</v>
      </c>
      <c r="N81" s="170" t="s">
        <v>1565</v>
      </c>
      <c r="O81" s="151" t="s">
        <v>52</v>
      </c>
      <c r="P81" s="151" t="s">
        <v>43</v>
      </c>
      <c r="Q81" s="10" t="s">
        <v>184</v>
      </c>
      <c r="R81" s="10" t="s">
        <v>184</v>
      </c>
      <c r="S81" s="59" t="s">
        <v>184</v>
      </c>
      <c r="T81" s="59" t="s">
        <v>184</v>
      </c>
      <c r="U81" s="10" t="s">
        <v>184</v>
      </c>
      <c r="V81" s="10" t="s">
        <v>184</v>
      </c>
      <c r="W81" s="10" t="s">
        <v>184</v>
      </c>
      <c r="X81" s="391" t="s">
        <v>1636</v>
      </c>
      <c r="Y81" s="391" t="s">
        <v>1569</v>
      </c>
      <c r="Z81" s="191" t="s">
        <v>369</v>
      </c>
    </row>
    <row r="82" spans="1:26" s="191" customFormat="1" ht="56.5" thickBot="1" x14ac:dyDescent="0.4">
      <c r="A82" s="191" t="s">
        <v>1585</v>
      </c>
      <c r="B82" s="191" t="s">
        <v>1586</v>
      </c>
      <c r="C82" s="191" t="s">
        <v>247</v>
      </c>
      <c r="D82" s="191" t="s">
        <v>430</v>
      </c>
      <c r="E82" s="191" t="s">
        <v>769</v>
      </c>
      <c r="F82" s="191" t="s">
        <v>280</v>
      </c>
      <c r="G82" s="118" t="s">
        <v>1641</v>
      </c>
      <c r="H82" s="191" t="s">
        <v>812</v>
      </c>
      <c r="I82" s="191" t="s">
        <v>91</v>
      </c>
      <c r="J82" s="151" t="s">
        <v>92</v>
      </c>
      <c r="K82" s="151" t="s">
        <v>722</v>
      </c>
      <c r="L82" s="151" t="s">
        <v>370</v>
      </c>
      <c r="M82" s="191" t="s">
        <v>336</v>
      </c>
      <c r="N82" s="191" t="s">
        <v>1587</v>
      </c>
      <c r="O82" s="151" t="s">
        <v>735</v>
      </c>
      <c r="P82" s="151" t="s">
        <v>43</v>
      </c>
      <c r="Q82" s="10" t="s">
        <v>184</v>
      </c>
      <c r="R82" s="10" t="s">
        <v>184</v>
      </c>
      <c r="S82" s="59" t="s">
        <v>184</v>
      </c>
      <c r="T82" s="59" t="s">
        <v>184</v>
      </c>
      <c r="U82" s="10" t="s">
        <v>184</v>
      </c>
      <c r="V82" s="10" t="s">
        <v>184</v>
      </c>
      <c r="W82" s="10" t="s">
        <v>184</v>
      </c>
      <c r="X82" s="391"/>
      <c r="Y82" s="391" t="s">
        <v>1598</v>
      </c>
    </row>
    <row r="83" spans="1:26" s="191" customFormat="1" ht="98.5" thickBot="1" x14ac:dyDescent="0.4">
      <c r="A83" s="191" t="s">
        <v>1599</v>
      </c>
      <c r="B83" s="191" t="s">
        <v>1600</v>
      </c>
      <c r="C83" s="191" t="s">
        <v>247</v>
      </c>
      <c r="D83" s="191" t="s">
        <v>1712</v>
      </c>
      <c r="E83" s="191" t="s">
        <v>745</v>
      </c>
      <c r="F83" s="191" t="s">
        <v>280</v>
      </c>
      <c r="G83" s="118" t="s">
        <v>1641</v>
      </c>
      <c r="H83" s="191" t="s">
        <v>1283</v>
      </c>
      <c r="I83" s="191" t="s">
        <v>91</v>
      </c>
      <c r="J83" s="151" t="s">
        <v>92</v>
      </c>
      <c r="K83" s="151" t="s">
        <v>92</v>
      </c>
      <c r="L83" s="151" t="s">
        <v>370</v>
      </c>
      <c r="M83" s="191" t="s">
        <v>1601</v>
      </c>
      <c r="N83" s="191" t="s">
        <v>1349</v>
      </c>
      <c r="O83" s="151" t="s">
        <v>735</v>
      </c>
      <c r="P83" s="151" t="s">
        <v>43</v>
      </c>
      <c r="Q83" s="10" t="s">
        <v>184</v>
      </c>
      <c r="R83" s="10" t="s">
        <v>184</v>
      </c>
      <c r="S83" s="59" t="s">
        <v>184</v>
      </c>
      <c r="T83" s="59" t="s">
        <v>184</v>
      </c>
      <c r="U83" s="60" t="s">
        <v>190</v>
      </c>
      <c r="V83" s="10" t="s">
        <v>184</v>
      </c>
      <c r="W83" s="10" t="s">
        <v>184</v>
      </c>
      <c r="X83" s="391" t="s">
        <v>1603</v>
      </c>
      <c r="Y83" s="391" t="s">
        <v>1602</v>
      </c>
    </row>
    <row r="84" spans="1:26" s="191" customFormat="1" ht="70.5" thickBot="1" x14ac:dyDescent="0.4">
      <c r="A84" s="191" t="s">
        <v>1875</v>
      </c>
      <c r="B84" s="191" t="s">
        <v>1606</v>
      </c>
      <c r="C84" s="191" t="s">
        <v>247</v>
      </c>
      <c r="D84" s="191" t="s">
        <v>430</v>
      </c>
      <c r="E84" s="191" t="s">
        <v>745</v>
      </c>
      <c r="F84" s="191" t="s">
        <v>711</v>
      </c>
      <c r="G84" s="118" t="s">
        <v>1641</v>
      </c>
      <c r="H84" s="191" t="s">
        <v>1301</v>
      </c>
      <c r="I84" s="191" t="s">
        <v>91</v>
      </c>
      <c r="J84" s="151" t="s">
        <v>92</v>
      </c>
      <c r="K84" s="151" t="s">
        <v>92</v>
      </c>
      <c r="L84" s="151" t="s">
        <v>370</v>
      </c>
      <c r="M84" s="191" t="s">
        <v>336</v>
      </c>
      <c r="N84" s="191" t="s">
        <v>1610</v>
      </c>
      <c r="O84" s="151" t="s">
        <v>735</v>
      </c>
      <c r="P84" s="151" t="s">
        <v>43</v>
      </c>
      <c r="Q84" s="10" t="s">
        <v>184</v>
      </c>
      <c r="R84" s="10" t="s">
        <v>184</v>
      </c>
      <c r="S84" s="59" t="s">
        <v>184</v>
      </c>
      <c r="T84" s="59" t="s">
        <v>184</v>
      </c>
      <c r="U84" s="10" t="s">
        <v>184</v>
      </c>
      <c r="V84" s="10" t="s">
        <v>184</v>
      </c>
      <c r="W84" s="10" t="s">
        <v>184</v>
      </c>
      <c r="X84" s="391" t="s">
        <v>1876</v>
      </c>
      <c r="Y84" s="391" t="s">
        <v>1611</v>
      </c>
    </row>
    <row r="85" spans="1:26" s="191" customFormat="1" ht="98.5" thickBot="1" x14ac:dyDescent="0.4">
      <c r="A85" s="191" t="s">
        <v>1614</v>
      </c>
      <c r="B85" s="191" t="s">
        <v>1615</v>
      </c>
      <c r="C85" s="191" t="s">
        <v>247</v>
      </c>
      <c r="D85" s="191" t="s">
        <v>1713</v>
      </c>
      <c r="E85" s="191" t="s">
        <v>1616</v>
      </c>
      <c r="F85" s="191" t="s">
        <v>778</v>
      </c>
      <c r="G85" s="118" t="s">
        <v>1641</v>
      </c>
      <c r="H85" s="191" t="s">
        <v>812</v>
      </c>
      <c r="I85" s="191" t="s">
        <v>91</v>
      </c>
      <c r="J85" s="151" t="s">
        <v>92</v>
      </c>
      <c r="K85" s="151" t="s">
        <v>92</v>
      </c>
      <c r="L85" s="151" t="s">
        <v>369</v>
      </c>
      <c r="M85" s="191" t="s">
        <v>93</v>
      </c>
      <c r="N85" s="170" t="s">
        <v>1565</v>
      </c>
      <c r="O85" s="151" t="s">
        <v>52</v>
      </c>
      <c r="P85" s="151" t="s">
        <v>43</v>
      </c>
      <c r="Q85" s="10" t="s">
        <v>184</v>
      </c>
      <c r="R85" s="10" t="s">
        <v>184</v>
      </c>
      <c r="S85" s="59" t="s">
        <v>184</v>
      </c>
      <c r="T85" s="59" t="s">
        <v>184</v>
      </c>
      <c r="U85" s="10" t="s">
        <v>184</v>
      </c>
      <c r="V85" s="10" t="s">
        <v>184</v>
      </c>
      <c r="W85" s="10" t="s">
        <v>184</v>
      </c>
      <c r="X85" s="391" t="s">
        <v>1617</v>
      </c>
      <c r="Y85" s="391" t="s">
        <v>1618</v>
      </c>
      <c r="Z85" s="191" t="s">
        <v>369</v>
      </c>
    </row>
    <row r="86" spans="1:26" s="191" customFormat="1" ht="56.5" thickBot="1" x14ac:dyDescent="0.4">
      <c r="A86" s="191" t="s">
        <v>1662</v>
      </c>
      <c r="B86" s="191" t="s">
        <v>1660</v>
      </c>
      <c r="C86" s="191" t="s">
        <v>247</v>
      </c>
      <c r="D86" s="191" t="s">
        <v>430</v>
      </c>
      <c r="E86" s="191" t="s">
        <v>745</v>
      </c>
      <c r="F86" s="191" t="s">
        <v>280</v>
      </c>
      <c r="G86" s="118" t="s">
        <v>1641</v>
      </c>
      <c r="H86" s="191" t="s">
        <v>1661</v>
      </c>
      <c r="I86" s="191" t="s">
        <v>91</v>
      </c>
      <c r="J86" s="151" t="s">
        <v>92</v>
      </c>
      <c r="K86" s="151" t="s">
        <v>92</v>
      </c>
      <c r="L86" s="151" t="s">
        <v>370</v>
      </c>
      <c r="M86" s="191" t="s">
        <v>308</v>
      </c>
      <c r="N86" s="191" t="s">
        <v>1349</v>
      </c>
      <c r="O86" s="151" t="s">
        <v>735</v>
      </c>
      <c r="P86" s="151" t="s">
        <v>43</v>
      </c>
      <c r="Q86" s="10" t="s">
        <v>184</v>
      </c>
      <c r="R86" s="10" t="s">
        <v>184</v>
      </c>
      <c r="S86" s="59" t="s">
        <v>184</v>
      </c>
      <c r="T86" s="59" t="s">
        <v>184</v>
      </c>
      <c r="U86" s="131" t="s">
        <v>30</v>
      </c>
      <c r="V86" s="10" t="s">
        <v>184</v>
      </c>
      <c r="W86" s="131" t="s">
        <v>30</v>
      </c>
      <c r="X86" s="391"/>
      <c r="Y86" s="391" t="s">
        <v>1670</v>
      </c>
    </row>
    <row r="87" spans="1:26" s="191" customFormat="1" ht="84.5" thickBot="1" x14ac:dyDescent="0.4">
      <c r="A87" s="191" t="s">
        <v>1668</v>
      </c>
      <c r="B87" s="191" t="s">
        <v>1669</v>
      </c>
      <c r="C87" s="191" t="s">
        <v>247</v>
      </c>
      <c r="D87" s="191" t="s">
        <v>430</v>
      </c>
      <c r="E87" s="191" t="s">
        <v>745</v>
      </c>
      <c r="F87" s="191" t="s">
        <v>280</v>
      </c>
      <c r="G87" s="118" t="s">
        <v>1641</v>
      </c>
      <c r="H87" s="191" t="s">
        <v>812</v>
      </c>
      <c r="I87" s="191" t="s">
        <v>91</v>
      </c>
      <c r="J87" s="151" t="s">
        <v>92</v>
      </c>
      <c r="K87" s="151" t="s">
        <v>722</v>
      </c>
      <c r="L87" s="151" t="s">
        <v>370</v>
      </c>
      <c r="M87" s="191" t="s">
        <v>308</v>
      </c>
      <c r="N87" s="191" t="s">
        <v>1349</v>
      </c>
      <c r="O87" s="151" t="s">
        <v>735</v>
      </c>
      <c r="P87" s="151" t="s">
        <v>43</v>
      </c>
      <c r="Q87" s="10" t="s">
        <v>184</v>
      </c>
      <c r="R87" s="10" t="s">
        <v>184</v>
      </c>
      <c r="S87" s="59" t="s">
        <v>184</v>
      </c>
      <c r="T87" s="59" t="s">
        <v>184</v>
      </c>
      <c r="U87" s="131" t="s">
        <v>30</v>
      </c>
      <c r="V87" s="10" t="s">
        <v>184</v>
      </c>
      <c r="W87" s="10" t="s">
        <v>184</v>
      </c>
      <c r="X87" s="391"/>
      <c r="Y87" s="391" t="s">
        <v>1671</v>
      </c>
    </row>
    <row r="88" spans="1:26" s="191" customFormat="1" ht="140" x14ac:dyDescent="0.35">
      <c r="A88" s="191" t="s">
        <v>1686</v>
      </c>
      <c r="B88" s="191" t="s">
        <v>1687</v>
      </c>
      <c r="C88" s="191" t="s">
        <v>247</v>
      </c>
      <c r="D88" s="191" t="s">
        <v>1714</v>
      </c>
      <c r="E88" s="191" t="s">
        <v>1688</v>
      </c>
      <c r="F88" s="191" t="s">
        <v>1689</v>
      </c>
      <c r="G88" s="118" t="s">
        <v>14</v>
      </c>
      <c r="H88" s="191" t="s">
        <v>812</v>
      </c>
      <c r="I88" s="191" t="s">
        <v>91</v>
      </c>
      <c r="J88" s="151" t="s">
        <v>92</v>
      </c>
      <c r="K88" s="151" t="s">
        <v>722</v>
      </c>
      <c r="L88" s="151" t="s">
        <v>369</v>
      </c>
      <c r="M88" s="191" t="s">
        <v>1690</v>
      </c>
      <c r="N88" s="170" t="s">
        <v>1691</v>
      </c>
      <c r="O88" s="151" t="s">
        <v>736</v>
      </c>
      <c r="P88" s="151" t="s">
        <v>43</v>
      </c>
      <c r="Q88" s="10" t="s">
        <v>184</v>
      </c>
      <c r="R88" s="10" t="s">
        <v>184</v>
      </c>
      <c r="S88" s="59" t="s">
        <v>184</v>
      </c>
      <c r="T88" s="59" t="s">
        <v>184</v>
      </c>
      <c r="U88" s="10" t="s">
        <v>184</v>
      </c>
      <c r="V88" s="10" t="s">
        <v>184</v>
      </c>
      <c r="W88" s="10" t="s">
        <v>184</v>
      </c>
      <c r="X88" s="391" t="s">
        <v>1702</v>
      </c>
      <c r="Y88" s="391" t="s">
        <v>1701</v>
      </c>
    </row>
    <row r="89" spans="1:26" s="437" customFormat="1" ht="70.5" x14ac:dyDescent="0.35">
      <c r="A89" s="441" t="s">
        <v>1723</v>
      </c>
      <c r="B89" s="441" t="s">
        <v>1722</v>
      </c>
      <c r="C89" s="441" t="s">
        <v>247</v>
      </c>
      <c r="D89" s="441" t="s">
        <v>430</v>
      </c>
      <c r="E89" s="441" t="s">
        <v>1724</v>
      </c>
      <c r="F89" s="441" t="s">
        <v>283</v>
      </c>
      <c r="G89" s="457" t="s">
        <v>1641</v>
      </c>
      <c r="H89" s="441" t="s">
        <v>812</v>
      </c>
      <c r="I89" s="441" t="s">
        <v>91</v>
      </c>
      <c r="J89" s="441" t="s">
        <v>92</v>
      </c>
      <c r="K89" s="441" t="s">
        <v>722</v>
      </c>
      <c r="L89" s="441" t="s">
        <v>370</v>
      </c>
      <c r="M89" s="441" t="s">
        <v>308</v>
      </c>
      <c r="N89" s="441" t="s">
        <v>1349</v>
      </c>
      <c r="O89" s="441" t="s">
        <v>735</v>
      </c>
      <c r="P89" s="441" t="s">
        <v>43</v>
      </c>
      <c r="Q89" s="10" t="s">
        <v>184</v>
      </c>
      <c r="R89" s="10" t="s">
        <v>184</v>
      </c>
      <c r="S89" s="59" t="s">
        <v>184</v>
      </c>
      <c r="T89" s="59" t="s">
        <v>184</v>
      </c>
      <c r="U89" s="10" t="s">
        <v>184</v>
      </c>
      <c r="V89" s="10" t="s">
        <v>184</v>
      </c>
      <c r="W89" s="10" t="s">
        <v>184</v>
      </c>
      <c r="X89" s="439"/>
      <c r="Y89" s="439" t="s">
        <v>1721</v>
      </c>
      <c r="Z89" s="191"/>
    </row>
    <row r="90" spans="1:26" s="191" customFormat="1" ht="126.5" x14ac:dyDescent="0.35">
      <c r="A90" s="441" t="s">
        <v>1738</v>
      </c>
      <c r="B90" s="441" t="s">
        <v>1739</v>
      </c>
      <c r="C90" s="441" t="s">
        <v>247</v>
      </c>
      <c r="D90" s="441" t="s">
        <v>427</v>
      </c>
      <c r="E90" s="441" t="s">
        <v>1857</v>
      </c>
      <c r="F90" s="441" t="s">
        <v>1742</v>
      </c>
      <c r="G90" s="457" t="s">
        <v>14</v>
      </c>
      <c r="H90" s="441" t="s">
        <v>1743</v>
      </c>
      <c r="I90" s="441" t="s">
        <v>1744</v>
      </c>
      <c r="J90" s="441" t="s">
        <v>92</v>
      </c>
      <c r="K90" s="441" t="s">
        <v>27</v>
      </c>
      <c r="L90" s="441" t="s">
        <v>369</v>
      </c>
      <c r="M90" s="441" t="s">
        <v>1745</v>
      </c>
      <c r="N90" s="441" t="s">
        <v>1746</v>
      </c>
      <c r="O90" s="441" t="s">
        <v>736</v>
      </c>
      <c r="P90" s="441" t="s">
        <v>19</v>
      </c>
      <c r="Q90" s="59" t="s">
        <v>184</v>
      </c>
      <c r="R90" s="59" t="s">
        <v>184</v>
      </c>
      <c r="S90" s="60" t="s">
        <v>190</v>
      </c>
      <c r="T90" s="59" t="s">
        <v>184</v>
      </c>
      <c r="U90" s="131" t="s">
        <v>30</v>
      </c>
      <c r="V90" s="10" t="s">
        <v>184</v>
      </c>
      <c r="W90" s="10" t="s">
        <v>184</v>
      </c>
      <c r="X90" t="s">
        <v>1740</v>
      </c>
      <c r="Y90" t="s">
        <v>1741</v>
      </c>
    </row>
    <row r="91" spans="1:26" s="191" customFormat="1" ht="112.5" x14ac:dyDescent="0.35">
      <c r="A91" s="441" t="s">
        <v>1754</v>
      </c>
      <c r="B91" s="441" t="s">
        <v>1755</v>
      </c>
      <c r="C91" s="441" t="s">
        <v>871</v>
      </c>
      <c r="D91" s="441" t="s">
        <v>427</v>
      </c>
      <c r="E91" s="441" t="s">
        <v>1758</v>
      </c>
      <c r="F91" s="441" t="s">
        <v>1759</v>
      </c>
      <c r="G91" s="457" t="s">
        <v>14</v>
      </c>
      <c r="H91" s="441" t="s">
        <v>1760</v>
      </c>
      <c r="I91" s="441" t="s">
        <v>91</v>
      </c>
      <c r="J91" s="441" t="s">
        <v>15</v>
      </c>
      <c r="K91" s="441" t="s">
        <v>92</v>
      </c>
      <c r="L91" s="441" t="s">
        <v>369</v>
      </c>
      <c r="M91" s="441" t="s">
        <v>859</v>
      </c>
      <c r="N91" s="441" t="s">
        <v>1761</v>
      </c>
      <c r="O91" s="441" t="s">
        <v>736</v>
      </c>
      <c r="P91" s="441" t="s">
        <v>43</v>
      </c>
      <c r="Q91" s="10" t="s">
        <v>184</v>
      </c>
      <c r="R91" s="10" t="s">
        <v>184</v>
      </c>
      <c r="S91" s="59" t="s">
        <v>184</v>
      </c>
      <c r="T91" s="59" t="s">
        <v>184</v>
      </c>
      <c r="U91" s="10" t="s">
        <v>184</v>
      </c>
      <c r="V91" s="10" t="s">
        <v>184</v>
      </c>
      <c r="W91" s="10" t="s">
        <v>184</v>
      </c>
      <c r="X91" s="391" t="s">
        <v>1757</v>
      </c>
      <c r="Y91" s="391" t="s">
        <v>1756</v>
      </c>
    </row>
    <row r="92" spans="1:26" s="191" customFormat="1" ht="84.5" x14ac:dyDescent="0.35">
      <c r="A92" s="441" t="s">
        <v>2195</v>
      </c>
      <c r="B92" s="441" t="s">
        <v>2196</v>
      </c>
      <c r="C92" s="441" t="s">
        <v>59</v>
      </c>
      <c r="D92" s="441" t="s">
        <v>2197</v>
      </c>
      <c r="E92" s="441" t="s">
        <v>1768</v>
      </c>
      <c r="F92" s="441" t="s">
        <v>1769</v>
      </c>
      <c r="G92" s="457" t="s">
        <v>1641</v>
      </c>
      <c r="H92" s="441" t="s">
        <v>812</v>
      </c>
      <c r="I92" s="441" t="s">
        <v>91</v>
      </c>
      <c r="J92" s="441" t="s">
        <v>15</v>
      </c>
      <c r="K92" s="441" t="s">
        <v>92</v>
      </c>
      <c r="L92" s="441" t="s">
        <v>369</v>
      </c>
      <c r="M92" s="441" t="s">
        <v>1770</v>
      </c>
      <c r="N92" s="441" t="s">
        <v>1771</v>
      </c>
      <c r="O92" s="441" t="s">
        <v>735</v>
      </c>
      <c r="P92" s="441" t="s">
        <v>43</v>
      </c>
      <c r="Q92" s="10" t="s">
        <v>184</v>
      </c>
      <c r="R92" s="10" t="s">
        <v>184</v>
      </c>
      <c r="S92" s="59" t="s">
        <v>184</v>
      </c>
      <c r="T92" s="59" t="s">
        <v>184</v>
      </c>
      <c r="U92" s="60" t="s">
        <v>190</v>
      </c>
      <c r="V92" s="10" t="s">
        <v>184</v>
      </c>
      <c r="W92" s="10" t="s">
        <v>184</v>
      </c>
      <c r="X92"/>
      <c r="Y92" t="s">
        <v>1775</v>
      </c>
    </row>
    <row r="93" spans="1:26" s="191" customFormat="1" ht="112.5" x14ac:dyDescent="0.35">
      <c r="A93" s="470" t="s">
        <v>2245</v>
      </c>
      <c r="B93" s="470" t="s">
        <v>2246</v>
      </c>
      <c r="C93" s="441" t="s">
        <v>871</v>
      </c>
      <c r="D93" s="470" t="s">
        <v>2247</v>
      </c>
      <c r="E93" s="441" t="s">
        <v>1315</v>
      </c>
      <c r="F93" s="441" t="s">
        <v>778</v>
      </c>
      <c r="G93" s="457" t="s">
        <v>1641</v>
      </c>
      <c r="H93" s="441" t="s">
        <v>812</v>
      </c>
      <c r="I93" s="441" t="s">
        <v>91</v>
      </c>
      <c r="J93" s="441" t="s">
        <v>15</v>
      </c>
      <c r="K93" s="441" t="s">
        <v>722</v>
      </c>
      <c r="L93" s="441" t="s">
        <v>369</v>
      </c>
      <c r="M93" s="441" t="s">
        <v>1777</v>
      </c>
      <c r="N93" s="441" t="s">
        <v>1565</v>
      </c>
      <c r="O93" s="441" t="s">
        <v>52</v>
      </c>
      <c r="P93" s="441" t="s">
        <v>43</v>
      </c>
      <c r="Q93" s="10" t="s">
        <v>184</v>
      </c>
      <c r="R93" s="10" t="s">
        <v>184</v>
      </c>
      <c r="S93" s="59" t="s">
        <v>184</v>
      </c>
      <c r="T93" s="59" t="s">
        <v>184</v>
      </c>
      <c r="U93" s="10" t="s">
        <v>184</v>
      </c>
      <c r="V93" s="10" t="s">
        <v>184</v>
      </c>
      <c r="W93" s="10" t="s">
        <v>184</v>
      </c>
      <c r="X93">
        <v>39625230</v>
      </c>
      <c r="Y93" t="s">
        <v>1776</v>
      </c>
    </row>
    <row r="94" spans="1:26" ht="84.5" x14ac:dyDescent="0.35">
      <c r="A94" s="441" t="s">
        <v>1783</v>
      </c>
      <c r="B94" s="441" t="s">
        <v>1782</v>
      </c>
      <c r="C94" s="441" t="s">
        <v>247</v>
      </c>
      <c r="D94" s="441" t="s">
        <v>430</v>
      </c>
      <c r="E94" s="441" t="s">
        <v>1784</v>
      </c>
      <c r="F94" s="441" t="s">
        <v>340</v>
      </c>
      <c r="G94" s="457" t="s">
        <v>1641</v>
      </c>
      <c r="H94" s="441" t="s">
        <v>1347</v>
      </c>
      <c r="I94" s="441" t="s">
        <v>91</v>
      </c>
      <c r="J94" s="441" t="s">
        <v>15</v>
      </c>
      <c r="K94" s="441" t="s">
        <v>92</v>
      </c>
      <c r="L94" s="441" t="s">
        <v>370</v>
      </c>
      <c r="M94" s="441" t="s">
        <v>82</v>
      </c>
      <c r="N94" s="441" t="s">
        <v>1785</v>
      </c>
      <c r="O94" s="441" t="s">
        <v>735</v>
      </c>
      <c r="P94" s="441" t="s">
        <v>43</v>
      </c>
      <c r="Q94" s="59" t="s">
        <v>184</v>
      </c>
      <c r="R94" s="59" t="s">
        <v>184</v>
      </c>
      <c r="S94" s="59" t="s">
        <v>184</v>
      </c>
      <c r="T94" s="59" t="s">
        <v>184</v>
      </c>
      <c r="U94" s="60" t="s">
        <v>190</v>
      </c>
      <c r="V94" s="59" t="s">
        <v>184</v>
      </c>
      <c r="W94" s="59" t="s">
        <v>184</v>
      </c>
      <c r="X94"/>
      <c r="Y94" t="s">
        <v>1793</v>
      </c>
    </row>
    <row r="95" spans="1:26" ht="56.5" x14ac:dyDescent="0.35">
      <c r="A95" s="441" t="s">
        <v>1796</v>
      </c>
      <c r="B95" s="441" t="s">
        <v>1791</v>
      </c>
      <c r="C95" s="441" t="s">
        <v>1805</v>
      </c>
      <c r="D95" s="441" t="s">
        <v>430</v>
      </c>
      <c r="E95" s="441" t="s">
        <v>1794</v>
      </c>
      <c r="F95" s="441" t="s">
        <v>711</v>
      </c>
      <c r="G95" s="457" t="s">
        <v>1641</v>
      </c>
      <c r="H95" s="441" t="s">
        <v>812</v>
      </c>
      <c r="I95" s="441" t="s">
        <v>91</v>
      </c>
      <c r="J95" s="441" t="s">
        <v>15</v>
      </c>
      <c r="K95" s="441" t="s">
        <v>722</v>
      </c>
      <c r="L95" s="441" t="s">
        <v>370</v>
      </c>
      <c r="M95" s="441" t="s">
        <v>82</v>
      </c>
      <c r="N95" s="441" t="s">
        <v>1795</v>
      </c>
      <c r="O95" s="441" t="s">
        <v>735</v>
      </c>
      <c r="P95" s="441" t="s">
        <v>43</v>
      </c>
      <c r="Q95" s="10" t="s">
        <v>184</v>
      </c>
      <c r="R95" s="10" t="s">
        <v>184</v>
      </c>
      <c r="S95" s="59" t="s">
        <v>184</v>
      </c>
      <c r="T95" s="59" t="s">
        <v>184</v>
      </c>
      <c r="U95" s="10" t="s">
        <v>184</v>
      </c>
      <c r="V95" s="10" t="s">
        <v>184</v>
      </c>
      <c r="W95" s="59" t="s">
        <v>184</v>
      </c>
      <c r="Y95" s="389" t="s">
        <v>1792</v>
      </c>
    </row>
    <row r="96" spans="1:26" ht="98.5" x14ac:dyDescent="0.35">
      <c r="A96" s="441" t="s">
        <v>1877</v>
      </c>
      <c r="B96" s="441" t="s">
        <v>1878</v>
      </c>
      <c r="C96" s="441" t="s">
        <v>247</v>
      </c>
      <c r="D96" s="441" t="s">
        <v>1879</v>
      </c>
      <c r="E96" s="441" t="s">
        <v>1806</v>
      </c>
      <c r="F96" s="441" t="s">
        <v>280</v>
      </c>
      <c r="G96" s="457" t="s">
        <v>1641</v>
      </c>
      <c r="H96" s="441" t="s">
        <v>812</v>
      </c>
      <c r="I96" s="441" t="s">
        <v>91</v>
      </c>
      <c r="J96" s="441" t="s">
        <v>15</v>
      </c>
      <c r="K96" s="441" t="s">
        <v>722</v>
      </c>
      <c r="L96" s="441" t="s">
        <v>370</v>
      </c>
      <c r="M96" s="441" t="s">
        <v>308</v>
      </c>
      <c r="N96" s="441" t="s">
        <v>1349</v>
      </c>
      <c r="O96" s="441" t="s">
        <v>735</v>
      </c>
      <c r="P96" s="441" t="s">
        <v>43</v>
      </c>
      <c r="Q96" s="10" t="s">
        <v>184</v>
      </c>
      <c r="R96" s="10" t="s">
        <v>184</v>
      </c>
      <c r="S96" s="59" t="s">
        <v>184</v>
      </c>
      <c r="T96" s="59" t="s">
        <v>184</v>
      </c>
      <c r="U96" s="10" t="s">
        <v>184</v>
      </c>
      <c r="V96" s="10" t="s">
        <v>184</v>
      </c>
      <c r="W96" s="59" t="s">
        <v>184</v>
      </c>
      <c r="X96" s="389" t="s">
        <v>1880</v>
      </c>
      <c r="Y96" s="389" t="s">
        <v>1804</v>
      </c>
    </row>
    <row r="97" spans="1:25" ht="70.5" x14ac:dyDescent="0.35">
      <c r="A97" s="441" t="s">
        <v>1812</v>
      </c>
      <c r="B97" s="441" t="s">
        <v>1813</v>
      </c>
      <c r="C97" s="441" t="s">
        <v>1815</v>
      </c>
      <c r="D97" s="441" t="s">
        <v>1826</v>
      </c>
      <c r="E97" s="441" t="s">
        <v>1816</v>
      </c>
      <c r="F97" s="441" t="s">
        <v>1817</v>
      </c>
      <c r="G97" s="457" t="s">
        <v>1641</v>
      </c>
      <c r="H97" s="441" t="s">
        <v>1283</v>
      </c>
      <c r="I97" s="441" t="s">
        <v>26</v>
      </c>
      <c r="J97" s="441" t="s">
        <v>15</v>
      </c>
      <c r="K97" s="441" t="s">
        <v>27</v>
      </c>
      <c r="L97" s="441" t="s">
        <v>370</v>
      </c>
      <c r="M97" s="441" t="s">
        <v>1248</v>
      </c>
      <c r="N97" s="441" t="s">
        <v>1818</v>
      </c>
      <c r="O97" s="441" t="s">
        <v>52</v>
      </c>
      <c r="P97" s="441" t="s">
        <v>12</v>
      </c>
      <c r="Q97" s="131" t="s">
        <v>30</v>
      </c>
      <c r="R97" s="131" t="s">
        <v>30</v>
      </c>
      <c r="S97" s="60" t="s">
        <v>190</v>
      </c>
      <c r="T97" s="60" t="s">
        <v>190</v>
      </c>
      <c r="U97" s="10" t="s">
        <v>184</v>
      </c>
      <c r="V97" s="131" t="s">
        <v>30</v>
      </c>
      <c r="W97" s="131" t="s">
        <v>30</v>
      </c>
      <c r="X97" s="389" t="s">
        <v>1814</v>
      </c>
    </row>
    <row r="98" spans="1:25" ht="98.5" x14ac:dyDescent="0.35">
      <c r="A98" s="441" t="s">
        <v>1825</v>
      </c>
      <c r="B98" s="441" t="s">
        <v>1824</v>
      </c>
      <c r="C98" s="441" t="s">
        <v>247</v>
      </c>
      <c r="D98" s="441" t="s">
        <v>427</v>
      </c>
      <c r="E98" s="441" t="s">
        <v>751</v>
      </c>
      <c r="F98" s="441" t="s">
        <v>280</v>
      </c>
      <c r="G98" s="457" t="s">
        <v>1641</v>
      </c>
      <c r="H98" s="441" t="s">
        <v>812</v>
      </c>
      <c r="I98" s="441" t="s">
        <v>91</v>
      </c>
      <c r="J98" s="441" t="s">
        <v>15</v>
      </c>
      <c r="K98" s="441" t="s">
        <v>722</v>
      </c>
      <c r="L98" s="441" t="s">
        <v>370</v>
      </c>
      <c r="M98" s="441" t="s">
        <v>1797</v>
      </c>
      <c r="N98" s="441" t="s">
        <v>1829</v>
      </c>
      <c r="O98" s="441" t="s">
        <v>735</v>
      </c>
      <c r="P98" s="441" t="s">
        <v>43</v>
      </c>
      <c r="Q98" s="10" t="s">
        <v>184</v>
      </c>
      <c r="R98" s="10" t="s">
        <v>184</v>
      </c>
      <c r="S98" s="59" t="s">
        <v>184</v>
      </c>
      <c r="T98" s="59" t="s">
        <v>184</v>
      </c>
      <c r="U98" s="60" t="s">
        <v>190</v>
      </c>
      <c r="V98" s="10" t="s">
        <v>184</v>
      </c>
      <c r="W98" s="59" t="s">
        <v>184</v>
      </c>
      <c r="X98" s="389" t="s">
        <v>1827</v>
      </c>
      <c r="Y98" s="389" t="s">
        <v>1828</v>
      </c>
    </row>
    <row r="99" spans="1:25" ht="85" thickBot="1" x14ac:dyDescent="0.4">
      <c r="A99" s="441" t="s">
        <v>1841</v>
      </c>
      <c r="B99" s="441" t="s">
        <v>1842</v>
      </c>
      <c r="C99" s="441" t="s">
        <v>1844</v>
      </c>
      <c r="D99" s="441" t="s">
        <v>1843</v>
      </c>
      <c r="E99" s="441" t="s">
        <v>1846</v>
      </c>
      <c r="F99" s="441" t="s">
        <v>1847</v>
      </c>
      <c r="G99" s="457" t="s">
        <v>1641</v>
      </c>
      <c r="H99" s="441" t="s">
        <v>1301</v>
      </c>
      <c r="I99" s="441" t="s">
        <v>91</v>
      </c>
      <c r="J99" s="441" t="s">
        <v>15</v>
      </c>
      <c r="K99" s="441" t="s">
        <v>722</v>
      </c>
      <c r="L99" s="441" t="s">
        <v>370</v>
      </c>
      <c r="M99" s="441" t="s">
        <v>308</v>
      </c>
      <c r="N99" s="441" t="s">
        <v>1795</v>
      </c>
      <c r="O99" s="441" t="s">
        <v>735</v>
      </c>
      <c r="P99" s="441" t="s">
        <v>43</v>
      </c>
      <c r="Q99" s="10" t="s">
        <v>184</v>
      </c>
      <c r="R99" s="10" t="s">
        <v>184</v>
      </c>
      <c r="S99" s="59" t="s">
        <v>184</v>
      </c>
      <c r="T99" s="59" t="s">
        <v>184</v>
      </c>
      <c r="U99" s="10" t="s">
        <v>184</v>
      </c>
      <c r="V99" s="10" t="s">
        <v>184</v>
      </c>
      <c r="W99" s="59" t="s">
        <v>184</v>
      </c>
      <c r="X99" s="389" t="s">
        <v>1840</v>
      </c>
      <c r="Y99" s="389" t="s">
        <v>1845</v>
      </c>
    </row>
    <row r="100" spans="1:25" s="191" customFormat="1" ht="98.5" thickBot="1" x14ac:dyDescent="0.4">
      <c r="A100" s="191" t="s">
        <v>1885</v>
      </c>
      <c r="B100" s="191" t="s">
        <v>1882</v>
      </c>
      <c r="C100" s="441" t="s">
        <v>247</v>
      </c>
      <c r="D100" s="191" t="s">
        <v>1883</v>
      </c>
      <c r="E100" s="191" t="s">
        <v>1903</v>
      </c>
      <c r="F100" s="441" t="s">
        <v>711</v>
      </c>
      <c r="G100" s="118" t="s">
        <v>1641</v>
      </c>
      <c r="H100" s="441" t="s">
        <v>812</v>
      </c>
      <c r="I100" s="191" t="s">
        <v>91</v>
      </c>
      <c r="J100" s="441" t="s">
        <v>15</v>
      </c>
      <c r="K100" s="441" t="s">
        <v>722</v>
      </c>
      <c r="L100" s="151" t="s">
        <v>370</v>
      </c>
      <c r="M100" s="191" t="s">
        <v>696</v>
      </c>
      <c r="N100" s="191" t="s">
        <v>1884</v>
      </c>
      <c r="O100" s="151" t="s">
        <v>735</v>
      </c>
      <c r="P100" s="151" t="s">
        <v>43</v>
      </c>
      <c r="Q100" s="10" t="s">
        <v>184</v>
      </c>
      <c r="R100" s="10" t="s">
        <v>184</v>
      </c>
      <c r="S100" s="59" t="s">
        <v>184</v>
      </c>
      <c r="T100" s="59" t="s">
        <v>184</v>
      </c>
      <c r="U100" s="131" t="s">
        <v>30</v>
      </c>
      <c r="V100" s="131" t="s">
        <v>30</v>
      </c>
      <c r="W100" s="60" t="s">
        <v>190</v>
      </c>
      <c r="X100" s="391" t="s">
        <v>1898</v>
      </c>
      <c r="Y100" s="391" t="s">
        <v>2201</v>
      </c>
    </row>
    <row r="101" spans="1:25" ht="43" thickBot="1" x14ac:dyDescent="0.4">
      <c r="A101" s="116" t="s">
        <v>2182</v>
      </c>
      <c r="B101" s="191" t="s">
        <v>2184</v>
      </c>
      <c r="C101" s="441" t="s">
        <v>247</v>
      </c>
      <c r="D101" s="116" t="s">
        <v>2183</v>
      </c>
      <c r="E101" s="191" t="s">
        <v>1806</v>
      </c>
      <c r="F101" s="441" t="s">
        <v>280</v>
      </c>
      <c r="G101" s="118" t="s">
        <v>1641</v>
      </c>
      <c r="H101" s="441" t="s">
        <v>1301</v>
      </c>
      <c r="I101" s="116" t="s">
        <v>91</v>
      </c>
      <c r="J101" s="441" t="s">
        <v>15</v>
      </c>
      <c r="K101" s="441" t="s">
        <v>722</v>
      </c>
      <c r="L101" s="193" t="s">
        <v>370</v>
      </c>
      <c r="M101" s="191" t="s">
        <v>82</v>
      </c>
      <c r="N101" s="441" t="s">
        <v>1900</v>
      </c>
      <c r="O101" s="193" t="s">
        <v>735</v>
      </c>
      <c r="P101" s="193" t="s">
        <v>43</v>
      </c>
      <c r="Q101" s="10" t="s">
        <v>184</v>
      </c>
      <c r="R101" s="10" t="s">
        <v>184</v>
      </c>
      <c r="S101" s="59" t="s">
        <v>184</v>
      </c>
      <c r="T101" s="59" t="s">
        <v>184</v>
      </c>
      <c r="U101" s="10" t="s">
        <v>184</v>
      </c>
      <c r="V101" s="10" t="s">
        <v>184</v>
      </c>
      <c r="W101" s="59" t="s">
        <v>184</v>
      </c>
      <c r="X101" s="389" t="s">
        <v>2185</v>
      </c>
      <c r="Y101" s="389" t="s">
        <v>1899</v>
      </c>
    </row>
    <row r="102" spans="1:25" ht="56.5" thickBot="1" x14ac:dyDescent="0.4">
      <c r="A102" s="116" t="s">
        <v>1916</v>
      </c>
      <c r="B102" s="191" t="s">
        <v>1914</v>
      </c>
      <c r="C102" s="441" t="s">
        <v>247</v>
      </c>
      <c r="D102" s="116" t="s">
        <v>430</v>
      </c>
      <c r="E102" s="116" t="s">
        <v>769</v>
      </c>
      <c r="F102" s="116" t="s">
        <v>283</v>
      </c>
      <c r="G102" s="118" t="s">
        <v>1641</v>
      </c>
      <c r="H102" s="441" t="s">
        <v>1917</v>
      </c>
      <c r="I102" s="116" t="s">
        <v>91</v>
      </c>
      <c r="J102" s="193" t="s">
        <v>15</v>
      </c>
      <c r="K102" s="193" t="s">
        <v>722</v>
      </c>
      <c r="L102" s="193" t="s">
        <v>370</v>
      </c>
      <c r="M102" s="191" t="s">
        <v>696</v>
      </c>
      <c r="N102" s="191" t="s">
        <v>1918</v>
      </c>
      <c r="O102" s="193" t="s">
        <v>735</v>
      </c>
      <c r="P102" s="193" t="s">
        <v>43</v>
      </c>
      <c r="Q102" s="10" t="s">
        <v>184</v>
      </c>
      <c r="R102" s="10" t="s">
        <v>184</v>
      </c>
      <c r="S102" s="10" t="s">
        <v>184</v>
      </c>
      <c r="T102" s="10" t="s">
        <v>184</v>
      </c>
      <c r="U102" s="27" t="s">
        <v>30</v>
      </c>
      <c r="V102" s="10" t="s">
        <v>184</v>
      </c>
      <c r="W102" s="10" t="s">
        <v>184</v>
      </c>
      <c r="Y102" s="389" t="s">
        <v>1915</v>
      </c>
    </row>
    <row r="103" spans="1:25" ht="98.5" thickBot="1" x14ac:dyDescent="0.4">
      <c r="A103" s="116" t="s">
        <v>1926</v>
      </c>
      <c r="B103" s="191" t="s">
        <v>1927</v>
      </c>
      <c r="C103" s="191" t="s">
        <v>1931</v>
      </c>
      <c r="D103" s="441" t="s">
        <v>1930</v>
      </c>
      <c r="E103" s="116" t="s">
        <v>1933</v>
      </c>
      <c r="F103" s="191" t="s">
        <v>1932</v>
      </c>
      <c r="G103" s="118" t="s">
        <v>1642</v>
      </c>
      <c r="H103" s="441" t="s">
        <v>1301</v>
      </c>
      <c r="I103" s="116" t="s">
        <v>91</v>
      </c>
      <c r="J103" s="193" t="s">
        <v>15</v>
      </c>
      <c r="K103" s="193" t="s">
        <v>15</v>
      </c>
      <c r="L103" s="193" t="s">
        <v>369</v>
      </c>
      <c r="M103" s="116" t="s">
        <v>859</v>
      </c>
      <c r="N103" s="441" t="s">
        <v>1795</v>
      </c>
      <c r="O103" s="193" t="s">
        <v>736</v>
      </c>
      <c r="P103" s="193" t="s">
        <v>43</v>
      </c>
      <c r="Q103" s="10" t="s">
        <v>184</v>
      </c>
      <c r="R103" s="10" t="s">
        <v>184</v>
      </c>
      <c r="S103" s="10" t="s">
        <v>184</v>
      </c>
      <c r="T103" s="10" t="s">
        <v>184</v>
      </c>
      <c r="U103" s="10" t="s">
        <v>184</v>
      </c>
      <c r="V103" s="10" t="s">
        <v>184</v>
      </c>
      <c r="W103" s="10" t="s">
        <v>184</v>
      </c>
      <c r="X103" s="389" t="s">
        <v>1929</v>
      </c>
      <c r="Y103" s="389" t="s">
        <v>1928</v>
      </c>
    </row>
    <row r="104" spans="1:25" ht="56.5" thickBot="1" x14ac:dyDescent="0.4">
      <c r="A104" s="116" t="s">
        <v>2065</v>
      </c>
      <c r="B104" s="191" t="s">
        <v>2057</v>
      </c>
      <c r="C104" s="191" t="s">
        <v>1844</v>
      </c>
      <c r="D104" s="116" t="s">
        <v>430</v>
      </c>
      <c r="E104" s="116" t="s">
        <v>769</v>
      </c>
      <c r="F104" s="441" t="s">
        <v>1194</v>
      </c>
      <c r="G104" s="118" t="s">
        <v>1641</v>
      </c>
      <c r="H104" s="441" t="s">
        <v>1301</v>
      </c>
      <c r="I104" s="116" t="s">
        <v>91</v>
      </c>
      <c r="J104" s="193" t="s">
        <v>15</v>
      </c>
      <c r="K104" s="193" t="s">
        <v>15</v>
      </c>
      <c r="L104" s="193" t="s">
        <v>370</v>
      </c>
      <c r="M104" s="116" t="s">
        <v>2058</v>
      </c>
      <c r="N104" s="191" t="s">
        <v>95</v>
      </c>
      <c r="O104" s="193" t="s">
        <v>52</v>
      </c>
      <c r="P104" s="193" t="s">
        <v>43</v>
      </c>
      <c r="Q104" s="27" t="s">
        <v>30</v>
      </c>
      <c r="R104" s="27" t="s">
        <v>30</v>
      </c>
      <c r="S104" s="10" t="s">
        <v>184</v>
      </c>
      <c r="T104" s="10" t="s">
        <v>184</v>
      </c>
      <c r="U104" s="10" t="s">
        <v>184</v>
      </c>
      <c r="V104" s="10" t="s">
        <v>184</v>
      </c>
      <c r="W104" s="10" t="s">
        <v>184</v>
      </c>
      <c r="Y104" s="389" t="s">
        <v>2090</v>
      </c>
    </row>
    <row r="105" spans="1:25" ht="70.5" thickBot="1" x14ac:dyDescent="0.4">
      <c r="A105" s="116" t="s">
        <v>2072</v>
      </c>
      <c r="B105" s="191" t="s">
        <v>2071</v>
      </c>
      <c r="C105" s="441" t="s">
        <v>247</v>
      </c>
      <c r="D105" s="116" t="s">
        <v>430</v>
      </c>
      <c r="E105" s="116" t="s">
        <v>769</v>
      </c>
      <c r="F105" s="441" t="s">
        <v>711</v>
      </c>
      <c r="G105" s="118" t="s">
        <v>1641</v>
      </c>
      <c r="H105" s="441" t="s">
        <v>2073</v>
      </c>
      <c r="I105" s="116" t="s">
        <v>91</v>
      </c>
      <c r="J105" s="193" t="s">
        <v>15</v>
      </c>
      <c r="K105" s="193" t="s">
        <v>722</v>
      </c>
      <c r="L105" s="193" t="s">
        <v>370</v>
      </c>
      <c r="M105" s="116" t="s">
        <v>93</v>
      </c>
      <c r="N105" s="116" t="s">
        <v>1785</v>
      </c>
      <c r="O105" s="193" t="s">
        <v>735</v>
      </c>
      <c r="P105" s="193" t="s">
        <v>43</v>
      </c>
      <c r="Q105" s="10" t="s">
        <v>184</v>
      </c>
      <c r="R105" s="10" t="s">
        <v>184</v>
      </c>
      <c r="S105" s="10" t="s">
        <v>184</v>
      </c>
      <c r="T105" s="10" t="s">
        <v>184</v>
      </c>
      <c r="U105" s="27" t="s">
        <v>30</v>
      </c>
      <c r="V105" s="10" t="s">
        <v>184</v>
      </c>
      <c r="W105" s="10" t="s">
        <v>184</v>
      </c>
      <c r="Y105" s="389" t="s">
        <v>2091</v>
      </c>
    </row>
    <row r="106" spans="1:25" ht="112.5" thickBot="1" x14ac:dyDescent="0.4">
      <c r="A106" s="116" t="s">
        <v>2100</v>
      </c>
      <c r="B106" s="191" t="s">
        <v>2095</v>
      </c>
      <c r="C106" s="441" t="s">
        <v>247</v>
      </c>
      <c r="D106" s="116" t="s">
        <v>2096</v>
      </c>
      <c r="E106" s="116" t="s">
        <v>2097</v>
      </c>
      <c r="F106" s="116" t="s">
        <v>2098</v>
      </c>
      <c r="G106" s="118" t="s">
        <v>1641</v>
      </c>
      <c r="H106" s="441" t="s">
        <v>1301</v>
      </c>
      <c r="I106" s="116" t="s">
        <v>1744</v>
      </c>
      <c r="J106" s="193" t="s">
        <v>15</v>
      </c>
      <c r="K106" s="193" t="s">
        <v>27</v>
      </c>
      <c r="L106" s="193" t="s">
        <v>370</v>
      </c>
      <c r="M106" s="116" t="s">
        <v>82</v>
      </c>
      <c r="N106" s="191" t="s">
        <v>2099</v>
      </c>
      <c r="O106" s="193" t="s">
        <v>52</v>
      </c>
      <c r="P106" s="193" t="s">
        <v>43</v>
      </c>
      <c r="Q106" s="27" t="s">
        <v>30</v>
      </c>
      <c r="R106" s="27" t="s">
        <v>30</v>
      </c>
      <c r="S106" s="27" t="s">
        <v>30</v>
      </c>
      <c r="T106" s="27" t="s">
        <v>30</v>
      </c>
      <c r="U106" s="10" t="s">
        <v>184</v>
      </c>
      <c r="V106" s="10" t="s">
        <v>184</v>
      </c>
      <c r="W106" s="10" t="s">
        <v>184</v>
      </c>
      <c r="X106" s="389" t="s">
        <v>2124</v>
      </c>
      <c r="Y106" s="389" t="s">
        <v>2125</v>
      </c>
    </row>
    <row r="107" spans="1:25" ht="70.5" thickBot="1" x14ac:dyDescent="0.4">
      <c r="A107" s="469" t="s">
        <v>2228</v>
      </c>
      <c r="B107" s="437" t="s">
        <v>2229</v>
      </c>
      <c r="C107" s="470" t="s">
        <v>247</v>
      </c>
      <c r="D107" s="437" t="s">
        <v>2230</v>
      </c>
      <c r="E107" s="469" t="s">
        <v>2204</v>
      </c>
      <c r="F107" s="116" t="s">
        <v>2108</v>
      </c>
      <c r="G107" s="118" t="s">
        <v>1641</v>
      </c>
      <c r="H107" s="470" t="s">
        <v>1301</v>
      </c>
      <c r="I107" s="116" t="s">
        <v>91</v>
      </c>
      <c r="J107" s="193" t="s">
        <v>15</v>
      </c>
      <c r="K107" s="193" t="s">
        <v>722</v>
      </c>
      <c r="L107" s="471" t="s">
        <v>370</v>
      </c>
      <c r="M107" s="116" t="s">
        <v>2109</v>
      </c>
      <c r="N107" s="469" t="s">
        <v>2231</v>
      </c>
      <c r="O107" s="193" t="s">
        <v>735</v>
      </c>
      <c r="P107" s="471" t="s">
        <v>43</v>
      </c>
      <c r="Q107" s="10" t="s">
        <v>184</v>
      </c>
      <c r="R107" s="10" t="s">
        <v>184</v>
      </c>
      <c r="S107" s="10" t="s">
        <v>184</v>
      </c>
      <c r="T107" s="10" t="s">
        <v>184</v>
      </c>
      <c r="U107" s="10" t="s">
        <v>184</v>
      </c>
      <c r="V107" s="10" t="s">
        <v>184</v>
      </c>
      <c r="W107" s="10" t="s">
        <v>184</v>
      </c>
      <c r="X107" s="389" t="s">
        <v>2238</v>
      </c>
      <c r="Y107" s="389" t="s">
        <v>2126</v>
      </c>
    </row>
    <row r="108" spans="1:25" ht="56.5" thickBot="1" x14ac:dyDescent="0.4">
      <c r="A108" s="116" t="s">
        <v>2120</v>
      </c>
      <c r="B108" s="191" t="s">
        <v>2121</v>
      </c>
      <c r="C108" s="116" t="s">
        <v>2122</v>
      </c>
      <c r="D108" s="116" t="s">
        <v>2123</v>
      </c>
      <c r="E108" s="116" t="s">
        <v>769</v>
      </c>
      <c r="F108" s="116" t="s">
        <v>2129</v>
      </c>
      <c r="G108" s="118" t="s">
        <v>1641</v>
      </c>
      <c r="H108" s="441" t="s">
        <v>2130</v>
      </c>
      <c r="I108" s="116" t="s">
        <v>91</v>
      </c>
      <c r="J108" s="193" t="s">
        <v>15</v>
      </c>
      <c r="K108" s="193" t="s">
        <v>2131</v>
      </c>
      <c r="L108" s="193" t="s">
        <v>370</v>
      </c>
      <c r="M108" s="116" t="s">
        <v>97</v>
      </c>
      <c r="N108" s="116" t="s">
        <v>2132</v>
      </c>
      <c r="O108" s="193" t="s">
        <v>735</v>
      </c>
      <c r="P108" s="193" t="s">
        <v>19</v>
      </c>
      <c r="Q108" s="27" t="s">
        <v>30</v>
      </c>
      <c r="R108" s="27" t="s">
        <v>30</v>
      </c>
      <c r="S108" s="10" t="s">
        <v>184</v>
      </c>
      <c r="T108" s="10" t="s">
        <v>184</v>
      </c>
      <c r="U108" s="10" t="s">
        <v>184</v>
      </c>
      <c r="V108" s="27" t="s">
        <v>30</v>
      </c>
      <c r="W108" s="27" t="s">
        <v>30</v>
      </c>
      <c r="X108" s="389" t="s">
        <v>2128</v>
      </c>
      <c r="Y108" s="389" t="s">
        <v>2127</v>
      </c>
    </row>
    <row r="109" spans="1:25" ht="98.5" thickBot="1" x14ac:dyDescent="0.4">
      <c r="A109" s="116" t="s">
        <v>2143</v>
      </c>
      <c r="B109" s="191" t="s">
        <v>2144</v>
      </c>
      <c r="C109" s="441" t="s">
        <v>247</v>
      </c>
      <c r="D109" s="116" t="s">
        <v>430</v>
      </c>
      <c r="E109" s="116" t="s">
        <v>2145</v>
      </c>
      <c r="F109" s="441" t="s">
        <v>778</v>
      </c>
      <c r="G109" s="118" t="s">
        <v>1641</v>
      </c>
      <c r="H109" s="441" t="s">
        <v>812</v>
      </c>
      <c r="I109" s="116" t="s">
        <v>91</v>
      </c>
      <c r="J109" s="193" t="s">
        <v>15</v>
      </c>
      <c r="K109" s="193" t="s">
        <v>15</v>
      </c>
      <c r="L109" s="193" t="s">
        <v>369</v>
      </c>
      <c r="M109" s="116" t="s">
        <v>859</v>
      </c>
      <c r="N109" s="441" t="s">
        <v>1795</v>
      </c>
      <c r="O109" s="193" t="s">
        <v>52</v>
      </c>
      <c r="P109" s="193" t="s">
        <v>43</v>
      </c>
      <c r="Q109" s="10" t="s">
        <v>184</v>
      </c>
      <c r="R109" s="10" t="s">
        <v>184</v>
      </c>
      <c r="S109" s="10" t="s">
        <v>184</v>
      </c>
      <c r="T109" s="10" t="s">
        <v>184</v>
      </c>
      <c r="U109" s="10" t="s">
        <v>184</v>
      </c>
      <c r="V109" s="10" t="s">
        <v>184</v>
      </c>
      <c r="W109" s="10" t="s">
        <v>184</v>
      </c>
      <c r="Y109" s="389" t="s">
        <v>2157</v>
      </c>
    </row>
    <row r="110" spans="1:25" ht="98.5" thickBot="1" x14ac:dyDescent="0.4">
      <c r="A110" s="469" t="s">
        <v>2236</v>
      </c>
      <c r="B110" s="437" t="s">
        <v>2235</v>
      </c>
      <c r="C110" s="470" t="s">
        <v>247</v>
      </c>
      <c r="D110" s="437" t="s">
        <v>2241</v>
      </c>
      <c r="E110" s="469" t="s">
        <v>2240</v>
      </c>
      <c r="F110" s="470" t="s">
        <v>711</v>
      </c>
      <c r="G110" s="487" t="s">
        <v>1641</v>
      </c>
      <c r="H110" s="470" t="s">
        <v>812</v>
      </c>
      <c r="I110" s="469" t="s">
        <v>91</v>
      </c>
      <c r="J110" s="471" t="s">
        <v>15</v>
      </c>
      <c r="K110" s="471" t="s">
        <v>722</v>
      </c>
      <c r="L110" s="471" t="s">
        <v>370</v>
      </c>
      <c r="M110" s="469" t="s">
        <v>1127</v>
      </c>
      <c r="N110" s="469" t="s">
        <v>2239</v>
      </c>
      <c r="O110" s="471" t="s">
        <v>2149</v>
      </c>
      <c r="P110" s="471" t="s">
        <v>43</v>
      </c>
      <c r="Q110" s="10" t="s">
        <v>184</v>
      </c>
      <c r="R110" s="10" t="s">
        <v>184</v>
      </c>
      <c r="S110" s="10" t="s">
        <v>184</v>
      </c>
      <c r="T110" s="10" t="s">
        <v>184</v>
      </c>
      <c r="U110" s="27" t="s">
        <v>30</v>
      </c>
      <c r="V110" s="10" t="s">
        <v>184</v>
      </c>
      <c r="W110" s="10" t="s">
        <v>184</v>
      </c>
      <c r="X110" s="389" t="s">
        <v>2237</v>
      </c>
      <c r="Y110" s="389" t="s">
        <v>2158</v>
      </c>
    </row>
    <row r="111" spans="1:25" ht="43" thickBot="1" x14ac:dyDescent="0.4">
      <c r="A111" s="116" t="s">
        <v>2160</v>
      </c>
      <c r="B111" s="191" t="s">
        <v>2159</v>
      </c>
      <c r="C111" s="116" t="s">
        <v>2161</v>
      </c>
      <c r="D111" s="116" t="s">
        <v>430</v>
      </c>
      <c r="E111" s="116" t="s">
        <v>2162</v>
      </c>
      <c r="F111" s="441" t="s">
        <v>778</v>
      </c>
      <c r="G111" s="118" t="s">
        <v>1641</v>
      </c>
      <c r="H111" s="441" t="s">
        <v>1301</v>
      </c>
      <c r="I111" s="116" t="s">
        <v>26</v>
      </c>
      <c r="J111" s="193" t="s">
        <v>15</v>
      </c>
      <c r="K111" s="193" t="s">
        <v>2163</v>
      </c>
      <c r="L111" s="193" t="s">
        <v>369</v>
      </c>
      <c r="M111" s="116" t="s">
        <v>2167</v>
      </c>
      <c r="N111" s="116" t="s">
        <v>2168</v>
      </c>
      <c r="O111" s="193" t="s">
        <v>52</v>
      </c>
      <c r="P111" s="193" t="s">
        <v>43</v>
      </c>
      <c r="Q111" s="10" t="s">
        <v>184</v>
      </c>
      <c r="R111" s="10" t="s">
        <v>184</v>
      </c>
      <c r="S111" s="60" t="s">
        <v>190</v>
      </c>
      <c r="T111" s="60" t="s">
        <v>190</v>
      </c>
      <c r="U111" s="10" t="s">
        <v>184</v>
      </c>
      <c r="V111" s="10" t="s">
        <v>184</v>
      </c>
      <c r="W111" s="10" t="s">
        <v>184</v>
      </c>
      <c r="Y111" s="389" t="s">
        <v>2156</v>
      </c>
    </row>
    <row r="112" spans="1:25" ht="112.5" thickBot="1" x14ac:dyDescent="0.4">
      <c r="A112" s="116" t="s">
        <v>2170</v>
      </c>
      <c r="B112" s="191" t="s">
        <v>2169</v>
      </c>
      <c r="C112" s="441" t="s">
        <v>247</v>
      </c>
      <c r="D112" s="116" t="s">
        <v>2172</v>
      </c>
      <c r="E112" s="116" t="s">
        <v>2176</v>
      </c>
      <c r="F112" s="441" t="s">
        <v>778</v>
      </c>
      <c r="G112" s="118" t="s">
        <v>1641</v>
      </c>
      <c r="H112" s="441" t="s">
        <v>1301</v>
      </c>
      <c r="I112" s="116" t="s">
        <v>91</v>
      </c>
      <c r="J112" s="193" t="s">
        <v>15</v>
      </c>
      <c r="K112" s="193" t="s">
        <v>92</v>
      </c>
      <c r="L112" s="193" t="s">
        <v>369</v>
      </c>
      <c r="M112" s="116" t="s">
        <v>2177</v>
      </c>
      <c r="N112" s="441" t="s">
        <v>1565</v>
      </c>
      <c r="O112" s="193" t="s">
        <v>52</v>
      </c>
      <c r="P112" s="193" t="s">
        <v>43</v>
      </c>
      <c r="Q112" s="10" t="s">
        <v>184</v>
      </c>
      <c r="R112" s="10" t="s">
        <v>184</v>
      </c>
      <c r="S112" s="10" t="s">
        <v>184</v>
      </c>
      <c r="T112" s="10" t="s">
        <v>184</v>
      </c>
      <c r="U112" s="10" t="s">
        <v>184</v>
      </c>
      <c r="V112" s="10" t="s">
        <v>184</v>
      </c>
      <c r="W112" s="10" t="s">
        <v>184</v>
      </c>
      <c r="X112" s="389" t="s">
        <v>2173</v>
      </c>
      <c r="Y112" s="389" t="s">
        <v>2174</v>
      </c>
    </row>
    <row r="113" spans="1:25" ht="112.5" thickBot="1" x14ac:dyDescent="0.4">
      <c r="A113" s="116" t="s">
        <v>2171</v>
      </c>
      <c r="B113" s="191" t="s">
        <v>2169</v>
      </c>
      <c r="C113" s="441" t="s">
        <v>247</v>
      </c>
      <c r="D113" s="116" t="s">
        <v>2172</v>
      </c>
      <c r="E113" s="116" t="s">
        <v>2176</v>
      </c>
      <c r="F113" s="441" t="s">
        <v>778</v>
      </c>
      <c r="G113" s="118" t="s">
        <v>1641</v>
      </c>
      <c r="H113" s="441" t="s">
        <v>1301</v>
      </c>
      <c r="I113" s="116" t="s">
        <v>91</v>
      </c>
      <c r="J113" s="193" t="s">
        <v>15</v>
      </c>
      <c r="K113" s="193" t="s">
        <v>92</v>
      </c>
      <c r="L113" s="193" t="s">
        <v>369</v>
      </c>
      <c r="M113" s="116" t="s">
        <v>2177</v>
      </c>
      <c r="N113" s="441" t="s">
        <v>1565</v>
      </c>
      <c r="O113" s="193" t="s">
        <v>52</v>
      </c>
      <c r="P113" s="193" t="s">
        <v>43</v>
      </c>
      <c r="Q113" s="10" t="s">
        <v>184</v>
      </c>
      <c r="R113" s="10" t="s">
        <v>184</v>
      </c>
      <c r="S113" s="10" t="s">
        <v>184</v>
      </c>
      <c r="T113" s="10" t="s">
        <v>184</v>
      </c>
      <c r="U113" s="10" t="s">
        <v>184</v>
      </c>
      <c r="V113" s="10" t="s">
        <v>184</v>
      </c>
      <c r="W113" s="10" t="s">
        <v>184</v>
      </c>
      <c r="X113" s="389" t="s">
        <v>2173</v>
      </c>
      <c r="Y113" s="389" t="s">
        <v>2175</v>
      </c>
    </row>
    <row r="114" spans="1:25" ht="98.5" thickBot="1" x14ac:dyDescent="0.4">
      <c r="A114" s="116" t="s">
        <v>2202</v>
      </c>
      <c r="B114" s="191" t="s">
        <v>2203</v>
      </c>
      <c r="C114" s="441" t="s">
        <v>247</v>
      </c>
      <c r="D114" s="116" t="s">
        <v>430</v>
      </c>
      <c r="E114" s="116" t="s">
        <v>2204</v>
      </c>
      <c r="F114" s="116" t="s">
        <v>283</v>
      </c>
      <c r="G114" s="118" t="s">
        <v>1641</v>
      </c>
      <c r="H114" s="441" t="s">
        <v>1301</v>
      </c>
      <c r="I114" s="116" t="s">
        <v>91</v>
      </c>
      <c r="J114" s="193" t="s">
        <v>15</v>
      </c>
      <c r="K114" s="193" t="s">
        <v>15</v>
      </c>
      <c r="L114" s="193" t="s">
        <v>370</v>
      </c>
      <c r="M114" s="116" t="s">
        <v>2205</v>
      </c>
      <c r="N114" s="441" t="s">
        <v>2206</v>
      </c>
      <c r="O114" s="193" t="s">
        <v>2149</v>
      </c>
      <c r="P114" s="193" t="s">
        <v>43</v>
      </c>
      <c r="Q114" s="59" t="s">
        <v>184</v>
      </c>
      <c r="R114" s="59" t="s">
        <v>184</v>
      </c>
      <c r="S114" s="59" t="s">
        <v>184</v>
      </c>
      <c r="T114" s="59" t="s">
        <v>184</v>
      </c>
      <c r="U114" s="57" t="s">
        <v>30</v>
      </c>
      <c r="V114" s="59" t="s">
        <v>184</v>
      </c>
      <c r="W114" s="59" t="s">
        <v>184</v>
      </c>
      <c r="Y114" s="389" t="s">
        <v>2214</v>
      </c>
    </row>
    <row r="115" spans="1:25" ht="43" thickBot="1" x14ac:dyDescent="0.4">
      <c r="A115" s="116" t="s">
        <v>2213</v>
      </c>
      <c r="B115" s="191" t="s">
        <v>2212</v>
      </c>
      <c r="C115" s="116" t="s">
        <v>2216</v>
      </c>
      <c r="D115" s="116" t="s">
        <v>430</v>
      </c>
      <c r="E115" s="116" t="s">
        <v>2204</v>
      </c>
      <c r="F115" s="116" t="s">
        <v>340</v>
      </c>
      <c r="G115" s="118" t="s">
        <v>1641</v>
      </c>
      <c r="H115" s="441" t="s">
        <v>2218</v>
      </c>
      <c r="I115" s="116" t="s">
        <v>91</v>
      </c>
      <c r="J115" s="193" t="s">
        <v>15</v>
      </c>
      <c r="K115" s="193" t="s">
        <v>27</v>
      </c>
      <c r="L115" s="193" t="s">
        <v>370</v>
      </c>
      <c r="M115" s="116" t="s">
        <v>93</v>
      </c>
      <c r="N115" s="191" t="s">
        <v>2217</v>
      </c>
      <c r="O115" s="193" t="s">
        <v>2149</v>
      </c>
      <c r="P115" s="193" t="s">
        <v>43</v>
      </c>
      <c r="Q115" s="59" t="s">
        <v>184</v>
      </c>
      <c r="R115" s="59" t="s">
        <v>184</v>
      </c>
      <c r="S115" s="59" t="s">
        <v>184</v>
      </c>
      <c r="T115" s="59" t="s">
        <v>184</v>
      </c>
      <c r="U115" s="57" t="s">
        <v>30</v>
      </c>
      <c r="V115" s="59" t="s">
        <v>184</v>
      </c>
      <c r="W115" s="60" t="s">
        <v>190</v>
      </c>
      <c r="Y115" s="389" t="s">
        <v>2215</v>
      </c>
    </row>
    <row r="116" spans="1:25" ht="14.5" thickBot="1" x14ac:dyDescent="0.35">
      <c r="G116" s="118"/>
    </row>
    <row r="117" spans="1:25" ht="14.5" thickBot="1" x14ac:dyDescent="0.35">
      <c r="G117" s="118"/>
    </row>
    <row r="118" spans="1:25" ht="14.5" thickBot="1" x14ac:dyDescent="0.35">
      <c r="G118" s="118"/>
    </row>
    <row r="119" spans="1:25" ht="14.5" thickBot="1" x14ac:dyDescent="0.35">
      <c r="G119" s="118"/>
    </row>
    <row r="120" spans="1:25" ht="14.5" thickBot="1" x14ac:dyDescent="0.35">
      <c r="G120" s="118"/>
    </row>
    <row r="121" spans="1:25" ht="14.5" thickBot="1" x14ac:dyDescent="0.35">
      <c r="G121" s="118"/>
    </row>
    <row r="122" spans="1:25" ht="14.5" thickBot="1" x14ac:dyDescent="0.35">
      <c r="G122" s="118"/>
    </row>
    <row r="123" spans="1:25" ht="14.5" thickBot="1" x14ac:dyDescent="0.35">
      <c r="G123" s="118"/>
    </row>
    <row r="124" spans="1:25" ht="14.5" thickBot="1" x14ac:dyDescent="0.35">
      <c r="G124" s="118"/>
    </row>
    <row r="125" spans="1:25" ht="14.5" thickBot="1" x14ac:dyDescent="0.35">
      <c r="G125" s="118"/>
    </row>
    <row r="126" spans="1:25" ht="14.5" thickBot="1" x14ac:dyDescent="0.35">
      <c r="G126" s="118"/>
    </row>
    <row r="127" spans="1:25" ht="14.5" thickBot="1" x14ac:dyDescent="0.35">
      <c r="G127" s="118"/>
    </row>
    <row r="128" spans="1:25" ht="14.5" thickBot="1" x14ac:dyDescent="0.35">
      <c r="G128" s="118"/>
    </row>
    <row r="129" spans="7:7" ht="14.5" thickBot="1" x14ac:dyDescent="0.35">
      <c r="G129" s="118"/>
    </row>
    <row r="130" spans="7:7" ht="14.5" thickBot="1" x14ac:dyDescent="0.35">
      <c r="G130" s="118"/>
    </row>
    <row r="131" spans="7:7" ht="14.5" thickBot="1" x14ac:dyDescent="0.35">
      <c r="G131" s="118"/>
    </row>
    <row r="132" spans="7:7" ht="14.5" thickBot="1" x14ac:dyDescent="0.35">
      <c r="G132" s="118"/>
    </row>
    <row r="133" spans="7:7" ht="14.5" thickBot="1" x14ac:dyDescent="0.35">
      <c r="G133" s="118"/>
    </row>
    <row r="134" spans="7:7" ht="14.5" thickBot="1" x14ac:dyDescent="0.35">
      <c r="G134" s="118"/>
    </row>
    <row r="135" spans="7:7" ht="14.5" thickBot="1" x14ac:dyDescent="0.35">
      <c r="G135" s="118"/>
    </row>
    <row r="136" spans="7:7" ht="14.5" thickBot="1" x14ac:dyDescent="0.35">
      <c r="G136" s="118"/>
    </row>
    <row r="137" spans="7:7" ht="14.5" thickBot="1" x14ac:dyDescent="0.35">
      <c r="G137" s="118"/>
    </row>
    <row r="138" spans="7:7" ht="14.5" thickBot="1" x14ac:dyDescent="0.35">
      <c r="G138" s="118"/>
    </row>
    <row r="139" spans="7:7" ht="14.5" thickBot="1" x14ac:dyDescent="0.35">
      <c r="G139" s="118"/>
    </row>
    <row r="140" spans="7:7" ht="14.5" thickBot="1" x14ac:dyDescent="0.35">
      <c r="G140" s="118"/>
    </row>
    <row r="141" spans="7:7" ht="14.5" thickBot="1" x14ac:dyDescent="0.35">
      <c r="G141" s="118"/>
    </row>
    <row r="142" spans="7:7" ht="14.5" thickBot="1" x14ac:dyDescent="0.35">
      <c r="G142" s="118"/>
    </row>
    <row r="143" spans="7:7" ht="14.5" thickBot="1" x14ac:dyDescent="0.35">
      <c r="G143" s="118"/>
    </row>
    <row r="144" spans="7:7" ht="14.5" thickBot="1" x14ac:dyDescent="0.35">
      <c r="G144" s="118"/>
    </row>
    <row r="145" spans="7:7" ht="14.5" thickBot="1" x14ac:dyDescent="0.35">
      <c r="G145" s="118"/>
    </row>
    <row r="146" spans="7:7" ht="14.5" thickBot="1" x14ac:dyDescent="0.35">
      <c r="G146" s="118"/>
    </row>
    <row r="147" spans="7:7" ht="14.5" thickBot="1" x14ac:dyDescent="0.35">
      <c r="G147" s="118"/>
    </row>
    <row r="148" spans="7:7" ht="14.5" thickBot="1" x14ac:dyDescent="0.35">
      <c r="G148" s="118"/>
    </row>
    <row r="149" spans="7:7" ht="14.5" thickBot="1" x14ac:dyDescent="0.35">
      <c r="G149" s="118"/>
    </row>
    <row r="150" spans="7:7" ht="14.5" thickBot="1" x14ac:dyDescent="0.35">
      <c r="G150" s="118"/>
    </row>
    <row r="151" spans="7:7" ht="14.5" thickBot="1" x14ac:dyDescent="0.35">
      <c r="G151" s="118"/>
    </row>
    <row r="152" spans="7:7" ht="14.5" thickBot="1" x14ac:dyDescent="0.35">
      <c r="G152" s="118"/>
    </row>
    <row r="153" spans="7:7" ht="14.5" thickBot="1" x14ac:dyDescent="0.35">
      <c r="G153" s="118"/>
    </row>
    <row r="154" spans="7:7" ht="14.5" thickBot="1" x14ac:dyDescent="0.35">
      <c r="G154" s="118"/>
    </row>
    <row r="155" spans="7:7" ht="14.5" thickBot="1" x14ac:dyDescent="0.35">
      <c r="G155" s="118"/>
    </row>
    <row r="156" spans="7:7" ht="14.5" thickBot="1" x14ac:dyDescent="0.35">
      <c r="G156" s="118"/>
    </row>
    <row r="157" spans="7:7" ht="14.5" thickBot="1" x14ac:dyDescent="0.35">
      <c r="G157" s="118"/>
    </row>
    <row r="158" spans="7:7" ht="14.5" thickBot="1" x14ac:dyDescent="0.35">
      <c r="G158" s="118"/>
    </row>
    <row r="159" spans="7:7" ht="14.5" thickBot="1" x14ac:dyDescent="0.35">
      <c r="G159" s="118"/>
    </row>
    <row r="160" spans="7:7" ht="14.5" thickBot="1" x14ac:dyDescent="0.35">
      <c r="G160" s="118"/>
    </row>
    <row r="161" spans="7:7" ht="14.5" thickBot="1" x14ac:dyDescent="0.35">
      <c r="G161" s="118"/>
    </row>
    <row r="162" spans="7:7" ht="14.5" thickBot="1" x14ac:dyDescent="0.35">
      <c r="G162" s="118"/>
    </row>
    <row r="163" spans="7:7" ht="14.5" thickBot="1" x14ac:dyDescent="0.35">
      <c r="G163" s="118"/>
    </row>
    <row r="164" spans="7:7" ht="14.5" thickBot="1" x14ac:dyDescent="0.35">
      <c r="G164" s="118"/>
    </row>
    <row r="165" spans="7:7" ht="14.5" thickBot="1" x14ac:dyDescent="0.35">
      <c r="G165" s="118"/>
    </row>
    <row r="166" spans="7:7" ht="14.5" thickBot="1" x14ac:dyDescent="0.35">
      <c r="G166" s="118"/>
    </row>
    <row r="167" spans="7:7" ht="14.5" thickBot="1" x14ac:dyDescent="0.35">
      <c r="G167" s="118"/>
    </row>
    <row r="168" spans="7:7" ht="14.5" thickBot="1" x14ac:dyDescent="0.35">
      <c r="G168" s="118"/>
    </row>
    <row r="169" spans="7:7" ht="14.5" thickBot="1" x14ac:dyDescent="0.35">
      <c r="G169" s="118"/>
    </row>
    <row r="170" spans="7:7" ht="14.5" thickBot="1" x14ac:dyDescent="0.35">
      <c r="G170" s="118"/>
    </row>
    <row r="171" spans="7:7" ht="14.5" thickBot="1" x14ac:dyDescent="0.35">
      <c r="G171" s="118"/>
    </row>
    <row r="172" spans="7:7" ht="14.5" thickBot="1" x14ac:dyDescent="0.35">
      <c r="G172" s="118"/>
    </row>
    <row r="173" spans="7:7" ht="14.5" thickBot="1" x14ac:dyDescent="0.35">
      <c r="G173" s="118"/>
    </row>
    <row r="174" spans="7:7" ht="14.5" thickBot="1" x14ac:dyDescent="0.35">
      <c r="G174" s="118"/>
    </row>
    <row r="175" spans="7:7" ht="14.5" thickBot="1" x14ac:dyDescent="0.35">
      <c r="G175" s="118"/>
    </row>
    <row r="176" spans="7:7" ht="14.5" thickBot="1" x14ac:dyDescent="0.35">
      <c r="G176" s="118"/>
    </row>
    <row r="177" spans="7:7" ht="14.5" thickBot="1" x14ac:dyDescent="0.35">
      <c r="G177" s="118"/>
    </row>
    <row r="178" spans="7:7" ht="14.5" thickBot="1" x14ac:dyDescent="0.35">
      <c r="G178" s="118"/>
    </row>
    <row r="179" spans="7:7" ht="14.5" thickBot="1" x14ac:dyDescent="0.35">
      <c r="G179" s="118"/>
    </row>
    <row r="180" spans="7:7" ht="14.5" thickBot="1" x14ac:dyDescent="0.35">
      <c r="G180" s="118"/>
    </row>
    <row r="181" spans="7:7" ht="14.5" thickBot="1" x14ac:dyDescent="0.35">
      <c r="G181" s="118"/>
    </row>
    <row r="182" spans="7:7" ht="14.5" thickBot="1" x14ac:dyDescent="0.35">
      <c r="G182" s="118"/>
    </row>
    <row r="183" spans="7:7" ht="14.5" thickBot="1" x14ac:dyDescent="0.35">
      <c r="G183" s="118"/>
    </row>
    <row r="184" spans="7:7" ht="14.5" thickBot="1" x14ac:dyDescent="0.35">
      <c r="G184" s="118"/>
    </row>
    <row r="185" spans="7:7" ht="14.5" thickBot="1" x14ac:dyDescent="0.35">
      <c r="G185" s="118"/>
    </row>
    <row r="186" spans="7:7" ht="14.5" thickBot="1" x14ac:dyDescent="0.35">
      <c r="G186" s="118"/>
    </row>
    <row r="187" spans="7:7" ht="14.5" thickBot="1" x14ac:dyDescent="0.35">
      <c r="G187" s="118"/>
    </row>
    <row r="188" spans="7:7" ht="14.5" thickBot="1" x14ac:dyDescent="0.35">
      <c r="G188" s="118"/>
    </row>
    <row r="189" spans="7:7" ht="14.5" thickBot="1" x14ac:dyDescent="0.35">
      <c r="G189" s="118"/>
    </row>
    <row r="190" spans="7:7" ht="14.5" thickBot="1" x14ac:dyDescent="0.35">
      <c r="G190" s="118"/>
    </row>
    <row r="191" spans="7:7" ht="14.5" thickBot="1" x14ac:dyDescent="0.35">
      <c r="G191" s="118"/>
    </row>
    <row r="192" spans="7:7" ht="14.5" thickBot="1" x14ac:dyDescent="0.35">
      <c r="G192" s="118"/>
    </row>
    <row r="193" spans="7:7" ht="14.5" thickBot="1" x14ac:dyDescent="0.35">
      <c r="G193" s="118"/>
    </row>
    <row r="194" spans="7:7" ht="14.5" thickBot="1" x14ac:dyDescent="0.35">
      <c r="G194" s="118"/>
    </row>
    <row r="195" spans="7:7" ht="14.5" thickBot="1" x14ac:dyDescent="0.35">
      <c r="G195" s="118"/>
    </row>
    <row r="196" spans="7:7" ht="14.5" thickBot="1" x14ac:dyDescent="0.35">
      <c r="G196" s="118"/>
    </row>
    <row r="197" spans="7:7" ht="14.5" thickBot="1" x14ac:dyDescent="0.35">
      <c r="G197" s="118"/>
    </row>
    <row r="198" spans="7:7" ht="14.5" thickBot="1" x14ac:dyDescent="0.35">
      <c r="G198" s="118"/>
    </row>
    <row r="199" spans="7:7" ht="14.5" thickBot="1" x14ac:dyDescent="0.35">
      <c r="G199" s="118"/>
    </row>
    <row r="200" spans="7:7" ht="14.5" thickBot="1" x14ac:dyDescent="0.35">
      <c r="G200" s="118"/>
    </row>
    <row r="201" spans="7:7" ht="14.5" thickBot="1" x14ac:dyDescent="0.35">
      <c r="G201" s="118"/>
    </row>
    <row r="202" spans="7:7" ht="14.5" thickBot="1" x14ac:dyDescent="0.35">
      <c r="G202" s="118"/>
    </row>
    <row r="203" spans="7:7" ht="14.5" thickBot="1" x14ac:dyDescent="0.35">
      <c r="G203" s="118"/>
    </row>
    <row r="204" spans="7:7" ht="14.5" thickBot="1" x14ac:dyDescent="0.35">
      <c r="G204" s="118"/>
    </row>
    <row r="205" spans="7:7" ht="14.5" thickBot="1" x14ac:dyDescent="0.35">
      <c r="G205" s="118"/>
    </row>
    <row r="206" spans="7:7" ht="14.5" thickBot="1" x14ac:dyDescent="0.35">
      <c r="G206" s="118"/>
    </row>
    <row r="207" spans="7:7" ht="14.5" thickBot="1" x14ac:dyDescent="0.35">
      <c r="G207" s="118"/>
    </row>
    <row r="208" spans="7:7" ht="14.5" thickBot="1" x14ac:dyDescent="0.35">
      <c r="G208" s="118"/>
    </row>
    <row r="209" spans="7:7" ht="14.5" thickBot="1" x14ac:dyDescent="0.35">
      <c r="G209" s="118"/>
    </row>
    <row r="210" spans="7:7" ht="14.5" thickBot="1" x14ac:dyDescent="0.35">
      <c r="G210" s="118"/>
    </row>
    <row r="211" spans="7:7" ht="14.5" thickBot="1" x14ac:dyDescent="0.35">
      <c r="G211" s="118"/>
    </row>
    <row r="212" spans="7:7" ht="14.5" thickBot="1" x14ac:dyDescent="0.35">
      <c r="G212" s="118"/>
    </row>
    <row r="213" spans="7:7" ht="14.5" thickBot="1" x14ac:dyDescent="0.35">
      <c r="G213" s="118"/>
    </row>
    <row r="214" spans="7:7" ht="14.5" thickBot="1" x14ac:dyDescent="0.35">
      <c r="G214" s="118"/>
    </row>
    <row r="215" spans="7:7" ht="14.5" thickBot="1" x14ac:dyDescent="0.35">
      <c r="G215" s="118"/>
    </row>
    <row r="216" spans="7:7" ht="14.5" thickBot="1" x14ac:dyDescent="0.35">
      <c r="G216" s="118"/>
    </row>
    <row r="217" spans="7:7" ht="14.5" thickBot="1" x14ac:dyDescent="0.35">
      <c r="G217" s="118"/>
    </row>
    <row r="218" spans="7:7" ht="14.5" thickBot="1" x14ac:dyDescent="0.35">
      <c r="G218" s="118"/>
    </row>
    <row r="219" spans="7:7" ht="14.5" thickBot="1" x14ac:dyDescent="0.35">
      <c r="G219" s="118"/>
    </row>
    <row r="220" spans="7:7" ht="14.5" thickBot="1" x14ac:dyDescent="0.35">
      <c r="G220" s="118"/>
    </row>
    <row r="221" spans="7:7" ht="14.5" thickBot="1" x14ac:dyDescent="0.35">
      <c r="G221" s="118"/>
    </row>
    <row r="222" spans="7:7" ht="14.5" thickBot="1" x14ac:dyDescent="0.35">
      <c r="G222" s="118"/>
    </row>
    <row r="223" spans="7:7" ht="14.5" thickBot="1" x14ac:dyDescent="0.35">
      <c r="G223" s="118"/>
    </row>
    <row r="224" spans="7:7" ht="14.5" thickBot="1" x14ac:dyDescent="0.35">
      <c r="G224" s="118"/>
    </row>
    <row r="225" spans="7:7" ht="14.5" thickBot="1" x14ac:dyDescent="0.35">
      <c r="G225" s="118"/>
    </row>
    <row r="226" spans="7:7" ht="14.5" thickBot="1" x14ac:dyDescent="0.35">
      <c r="G226" s="118"/>
    </row>
    <row r="227" spans="7:7" ht="14.5" thickBot="1" x14ac:dyDescent="0.35">
      <c r="G227" s="118"/>
    </row>
    <row r="228" spans="7:7" ht="14.5" thickBot="1" x14ac:dyDescent="0.35">
      <c r="G228" s="118"/>
    </row>
    <row r="229" spans="7:7" ht="14.5" thickBot="1" x14ac:dyDescent="0.35">
      <c r="G229" s="118"/>
    </row>
    <row r="230" spans="7:7" ht="14.5" thickBot="1" x14ac:dyDescent="0.35">
      <c r="G230" s="118"/>
    </row>
    <row r="231" spans="7:7" ht="14.5" thickBot="1" x14ac:dyDescent="0.35">
      <c r="G231" s="118"/>
    </row>
    <row r="232" spans="7:7" ht="14.5" thickBot="1" x14ac:dyDescent="0.35">
      <c r="G232" s="118"/>
    </row>
    <row r="233" spans="7:7" ht="14.5" thickBot="1" x14ac:dyDescent="0.35">
      <c r="G233" s="118"/>
    </row>
    <row r="234" spans="7:7" ht="14.5" thickBot="1" x14ac:dyDescent="0.35">
      <c r="G234" s="118"/>
    </row>
    <row r="235" spans="7:7" ht="14.5" thickBot="1" x14ac:dyDescent="0.35">
      <c r="G235" s="118"/>
    </row>
    <row r="236" spans="7:7" ht="14.5" thickBot="1" x14ac:dyDescent="0.35">
      <c r="G236" s="118"/>
    </row>
    <row r="237" spans="7:7" ht="14.5" thickBot="1" x14ac:dyDescent="0.35">
      <c r="G237" s="118"/>
    </row>
    <row r="238" spans="7:7" ht="14.5" thickBot="1" x14ac:dyDescent="0.35">
      <c r="G238" s="118"/>
    </row>
    <row r="239" spans="7:7" ht="14.5" thickBot="1" x14ac:dyDescent="0.35">
      <c r="G239" s="118"/>
    </row>
    <row r="240" spans="7:7" ht="14.5" thickBot="1" x14ac:dyDescent="0.35">
      <c r="G240" s="118"/>
    </row>
    <row r="241" spans="7:7" ht="14.5" thickBot="1" x14ac:dyDescent="0.35">
      <c r="G241" s="118"/>
    </row>
    <row r="242" spans="7:7" ht="14.5" thickBot="1" x14ac:dyDescent="0.35">
      <c r="G242" s="118"/>
    </row>
    <row r="243" spans="7:7" ht="14.5" thickBot="1" x14ac:dyDescent="0.35">
      <c r="G243" s="118"/>
    </row>
    <row r="244" spans="7:7" ht="14.5" thickBot="1" x14ac:dyDescent="0.35">
      <c r="G244" s="118"/>
    </row>
    <row r="245" spans="7:7" ht="14.5" thickBot="1" x14ac:dyDescent="0.35">
      <c r="G245" s="118"/>
    </row>
    <row r="246" spans="7:7" ht="14.5" thickBot="1" x14ac:dyDescent="0.35">
      <c r="G246" s="118"/>
    </row>
    <row r="247" spans="7:7" ht="14.5" thickBot="1" x14ac:dyDescent="0.35">
      <c r="G247" s="118"/>
    </row>
    <row r="248" spans="7:7" ht="14.5" thickBot="1" x14ac:dyDescent="0.35">
      <c r="G248" s="118"/>
    </row>
    <row r="249" spans="7:7" ht="14.5" thickBot="1" x14ac:dyDescent="0.35">
      <c r="G249" s="118"/>
    </row>
    <row r="250" spans="7:7" ht="14.5" thickBot="1" x14ac:dyDescent="0.35">
      <c r="G250" s="118"/>
    </row>
    <row r="251" spans="7:7" ht="14.5" thickBot="1" x14ac:dyDescent="0.35">
      <c r="G251" s="118"/>
    </row>
    <row r="252" spans="7:7" ht="14.5" thickBot="1" x14ac:dyDescent="0.35">
      <c r="G252" s="118"/>
    </row>
    <row r="253" spans="7:7" ht="14.5" thickBot="1" x14ac:dyDescent="0.35">
      <c r="G253" s="118"/>
    </row>
    <row r="254" spans="7:7" ht="14.5" thickBot="1" x14ac:dyDescent="0.35">
      <c r="G254" s="118"/>
    </row>
    <row r="255" spans="7:7" ht="14.5" thickBot="1" x14ac:dyDescent="0.35">
      <c r="G255" s="118"/>
    </row>
    <row r="256" spans="7:7" ht="14.5" thickBot="1" x14ac:dyDescent="0.35">
      <c r="G256" s="118"/>
    </row>
    <row r="257" spans="7:7" ht="14.5" thickBot="1" x14ac:dyDescent="0.35">
      <c r="G257" s="118"/>
    </row>
    <row r="258" spans="7:7" ht="14.5" thickBot="1" x14ac:dyDescent="0.35">
      <c r="G258" s="118"/>
    </row>
    <row r="259" spans="7:7" ht="14.5" thickBot="1" x14ac:dyDescent="0.35">
      <c r="G259" s="118"/>
    </row>
    <row r="260" spans="7:7" ht="14.5" thickBot="1" x14ac:dyDescent="0.35">
      <c r="G260" s="118"/>
    </row>
    <row r="261" spans="7:7" ht="14.5" thickBot="1" x14ac:dyDescent="0.35">
      <c r="G261" s="118"/>
    </row>
    <row r="262" spans="7:7" ht="14.5" thickBot="1" x14ac:dyDescent="0.35">
      <c r="G262" s="118"/>
    </row>
    <row r="263" spans="7:7" ht="14.5" thickBot="1" x14ac:dyDescent="0.35">
      <c r="G263" s="118"/>
    </row>
    <row r="264" spans="7:7" ht="14.5" thickBot="1" x14ac:dyDescent="0.35">
      <c r="G264" s="118"/>
    </row>
    <row r="265" spans="7:7" ht="14.5" thickBot="1" x14ac:dyDescent="0.35">
      <c r="G265" s="118"/>
    </row>
    <row r="266" spans="7:7" ht="14.5" thickBot="1" x14ac:dyDescent="0.35">
      <c r="G266" s="118"/>
    </row>
    <row r="267" spans="7:7" ht="14.5" thickBot="1" x14ac:dyDescent="0.35">
      <c r="G267" s="118"/>
    </row>
    <row r="268" spans="7:7" ht="14.5" thickBot="1" x14ac:dyDescent="0.35">
      <c r="G268" s="118"/>
    </row>
    <row r="269" spans="7:7" ht="14.5" thickBot="1" x14ac:dyDescent="0.35">
      <c r="G269" s="118"/>
    </row>
    <row r="270" spans="7:7" ht="14.5" thickBot="1" x14ac:dyDescent="0.35">
      <c r="G270" s="118"/>
    </row>
    <row r="271" spans="7:7" ht="14.5" thickBot="1" x14ac:dyDescent="0.35">
      <c r="G271" s="118"/>
    </row>
    <row r="272" spans="7:7" ht="14.5" thickBot="1" x14ac:dyDescent="0.35">
      <c r="G272" s="118"/>
    </row>
    <row r="273" spans="7:7" ht="14.5" thickBot="1" x14ac:dyDescent="0.35">
      <c r="G273" s="118"/>
    </row>
    <row r="274" spans="7:7" ht="14.5" thickBot="1" x14ac:dyDescent="0.35">
      <c r="G274" s="118"/>
    </row>
    <row r="275" spans="7:7" ht="14.5" thickBot="1" x14ac:dyDescent="0.35">
      <c r="G275" s="118"/>
    </row>
    <row r="276" spans="7:7" ht="14.5" thickBot="1" x14ac:dyDescent="0.35">
      <c r="G276" s="118"/>
    </row>
    <row r="277" spans="7:7" ht="14.5" thickBot="1" x14ac:dyDescent="0.35">
      <c r="G277" s="118"/>
    </row>
    <row r="278" spans="7:7" ht="14.5" thickBot="1" x14ac:dyDescent="0.35">
      <c r="G278" s="118"/>
    </row>
    <row r="279" spans="7:7" ht="14.5" thickBot="1" x14ac:dyDescent="0.35">
      <c r="G279" s="118"/>
    </row>
    <row r="280" spans="7:7" ht="14.5" thickBot="1" x14ac:dyDescent="0.35">
      <c r="G280" s="118"/>
    </row>
    <row r="281" spans="7:7" ht="14.5" thickBot="1" x14ac:dyDescent="0.35">
      <c r="G281" s="118"/>
    </row>
    <row r="282" spans="7:7" ht="14.5" thickBot="1" x14ac:dyDescent="0.35">
      <c r="G282" s="118"/>
    </row>
    <row r="283" spans="7:7" ht="14.5" thickBot="1" x14ac:dyDescent="0.35">
      <c r="G283" s="118"/>
    </row>
    <row r="284" spans="7:7" ht="14.5" thickBot="1" x14ac:dyDescent="0.35">
      <c r="G284" s="118"/>
    </row>
    <row r="285" spans="7:7" ht="14.5" thickBot="1" x14ac:dyDescent="0.35">
      <c r="G285" s="118"/>
    </row>
    <row r="286" spans="7:7" ht="14.5" thickBot="1" x14ac:dyDescent="0.35">
      <c r="G286" s="118"/>
    </row>
    <row r="287" spans="7:7" ht="14.5" thickBot="1" x14ac:dyDescent="0.35">
      <c r="G287" s="118"/>
    </row>
    <row r="288" spans="7:7" ht="14.5" thickBot="1" x14ac:dyDescent="0.35">
      <c r="G288" s="118"/>
    </row>
    <row r="289" spans="7:7" ht="14.5" thickBot="1" x14ac:dyDescent="0.35">
      <c r="G289" s="118"/>
    </row>
    <row r="290" spans="7:7" ht="14.5" thickBot="1" x14ac:dyDescent="0.35">
      <c r="G290" s="118"/>
    </row>
    <row r="291" spans="7:7" ht="14.5" thickBot="1" x14ac:dyDescent="0.35">
      <c r="G291" s="118"/>
    </row>
    <row r="292" spans="7:7" ht="14.5" thickBot="1" x14ac:dyDescent="0.35">
      <c r="G292" s="118"/>
    </row>
    <row r="293" spans="7:7" ht="14.5" thickBot="1" x14ac:dyDescent="0.35">
      <c r="G293" s="118"/>
    </row>
    <row r="294" spans="7:7" ht="14.5" thickBot="1" x14ac:dyDescent="0.35">
      <c r="G294" s="118"/>
    </row>
    <row r="295" spans="7:7" ht="14.5" thickBot="1" x14ac:dyDescent="0.35">
      <c r="G295" s="118"/>
    </row>
    <row r="296" spans="7:7" ht="14.5" thickBot="1" x14ac:dyDescent="0.35">
      <c r="G296" s="118"/>
    </row>
    <row r="297" spans="7:7" ht="14.5" thickBot="1" x14ac:dyDescent="0.35">
      <c r="G297" s="118"/>
    </row>
    <row r="298" spans="7:7" ht="14.5" thickBot="1" x14ac:dyDescent="0.35">
      <c r="G298" s="118"/>
    </row>
    <row r="299" spans="7:7" ht="14.5" thickBot="1" x14ac:dyDescent="0.35">
      <c r="G299" s="118"/>
    </row>
    <row r="300" spans="7:7" ht="14.5" thickBot="1" x14ac:dyDescent="0.35">
      <c r="G300" s="118"/>
    </row>
    <row r="301" spans="7:7" ht="14.5" thickBot="1" x14ac:dyDescent="0.35">
      <c r="G301" s="118"/>
    </row>
    <row r="302" spans="7:7" ht="14.5" thickBot="1" x14ac:dyDescent="0.35">
      <c r="G302" s="118"/>
    </row>
    <row r="303" spans="7:7" ht="14.5" thickBot="1" x14ac:dyDescent="0.35">
      <c r="G303" s="118"/>
    </row>
    <row r="304" spans="7:7" ht="14.5" thickBot="1" x14ac:dyDescent="0.35">
      <c r="G304" s="118"/>
    </row>
    <row r="305" spans="7:7" ht="14.5" thickBot="1" x14ac:dyDescent="0.35">
      <c r="G305" s="118"/>
    </row>
    <row r="306" spans="7:7" ht="14.5" thickBot="1" x14ac:dyDescent="0.35">
      <c r="G306" s="118"/>
    </row>
    <row r="307" spans="7:7" ht="14.5" thickBot="1" x14ac:dyDescent="0.35">
      <c r="G307" s="118"/>
    </row>
    <row r="308" spans="7:7" ht="14.5" thickBot="1" x14ac:dyDescent="0.35">
      <c r="G308" s="118"/>
    </row>
    <row r="309" spans="7:7" ht="14.5" thickBot="1" x14ac:dyDescent="0.35">
      <c r="G309" s="118"/>
    </row>
    <row r="310" spans="7:7" ht="14.5" thickBot="1" x14ac:dyDescent="0.35">
      <c r="G310" s="118"/>
    </row>
    <row r="311" spans="7:7" ht="14.5" thickBot="1" x14ac:dyDescent="0.35">
      <c r="G311" s="118"/>
    </row>
    <row r="312" spans="7:7" ht="14.5" thickBot="1" x14ac:dyDescent="0.35">
      <c r="G312" s="118"/>
    </row>
    <row r="313" spans="7:7" ht="14.5" thickBot="1" x14ac:dyDescent="0.35">
      <c r="G313" s="118"/>
    </row>
    <row r="314" spans="7:7" ht="14.5" thickBot="1" x14ac:dyDescent="0.35">
      <c r="G314" s="118"/>
    </row>
    <row r="315" spans="7:7" ht="14.5" thickBot="1" x14ac:dyDescent="0.35">
      <c r="G315" s="118"/>
    </row>
    <row r="316" spans="7:7" ht="14.5" thickBot="1" x14ac:dyDescent="0.35">
      <c r="G316" s="118"/>
    </row>
    <row r="317" spans="7:7" ht="14.5" thickBot="1" x14ac:dyDescent="0.35">
      <c r="G317" s="118"/>
    </row>
    <row r="318" spans="7:7" ht="14.5" thickBot="1" x14ac:dyDescent="0.35">
      <c r="G318" s="118"/>
    </row>
    <row r="319" spans="7:7" ht="14.5" thickBot="1" x14ac:dyDescent="0.35">
      <c r="G319" s="118"/>
    </row>
    <row r="320" spans="7:7" ht="14.5" thickBot="1" x14ac:dyDescent="0.35">
      <c r="G320" s="118"/>
    </row>
    <row r="321" spans="7:7" ht="14.5" thickBot="1" x14ac:dyDescent="0.35">
      <c r="G321" s="118"/>
    </row>
    <row r="322" spans="7:7" ht="14.5" thickBot="1" x14ac:dyDescent="0.35">
      <c r="G322" s="118"/>
    </row>
    <row r="323" spans="7:7" ht="14.5" thickBot="1" x14ac:dyDescent="0.35">
      <c r="G323" s="118"/>
    </row>
    <row r="324" spans="7:7" ht="14.5" thickBot="1" x14ac:dyDescent="0.35">
      <c r="G324" s="118"/>
    </row>
    <row r="325" spans="7:7" ht="14.5" thickBot="1" x14ac:dyDescent="0.35">
      <c r="G325" s="118"/>
    </row>
    <row r="326" spans="7:7" ht="14.5" thickBot="1" x14ac:dyDescent="0.35">
      <c r="G326" s="118"/>
    </row>
    <row r="327" spans="7:7" ht="14.5" thickBot="1" x14ac:dyDescent="0.35">
      <c r="G327" s="118"/>
    </row>
    <row r="328" spans="7:7" ht="14.5" thickBot="1" x14ac:dyDescent="0.35">
      <c r="G328" s="118"/>
    </row>
    <row r="329" spans="7:7" ht="14.5" thickBot="1" x14ac:dyDescent="0.35">
      <c r="G329" s="118"/>
    </row>
    <row r="330" spans="7:7" ht="14.5" thickBot="1" x14ac:dyDescent="0.35">
      <c r="G330" s="118"/>
    </row>
    <row r="331" spans="7:7" ht="14.5" thickBot="1" x14ac:dyDescent="0.35">
      <c r="G331" s="118"/>
    </row>
    <row r="332" spans="7:7" ht="14.5" thickBot="1" x14ac:dyDescent="0.35">
      <c r="G332" s="118"/>
    </row>
    <row r="333" spans="7:7" ht="14.5" thickBot="1" x14ac:dyDescent="0.35">
      <c r="G333" s="118"/>
    </row>
    <row r="334" spans="7:7" ht="14.5" thickBot="1" x14ac:dyDescent="0.35">
      <c r="G334" s="118"/>
    </row>
    <row r="335" spans="7:7" ht="14.5" thickBot="1" x14ac:dyDescent="0.35">
      <c r="G335" s="118"/>
    </row>
    <row r="336" spans="7:7" ht="14.5" thickBot="1" x14ac:dyDescent="0.35">
      <c r="G336" s="118"/>
    </row>
    <row r="337" spans="7:7" ht="14.5" thickBot="1" x14ac:dyDescent="0.35">
      <c r="G337" s="118"/>
    </row>
    <row r="338" spans="7:7" ht="14.5" thickBot="1" x14ac:dyDescent="0.35">
      <c r="G338" s="118"/>
    </row>
    <row r="339" spans="7:7" ht="14.5" thickBot="1" x14ac:dyDescent="0.35">
      <c r="G339" s="118"/>
    </row>
    <row r="340" spans="7:7" ht="14.5" thickBot="1" x14ac:dyDescent="0.35">
      <c r="G340" s="118"/>
    </row>
    <row r="341" spans="7:7" ht="14.5" thickBot="1" x14ac:dyDescent="0.35">
      <c r="G341" s="118"/>
    </row>
    <row r="342" spans="7:7" ht="14.5" thickBot="1" x14ac:dyDescent="0.35">
      <c r="G342" s="118"/>
    </row>
    <row r="343" spans="7:7" ht="14.5" thickBot="1" x14ac:dyDescent="0.35">
      <c r="G343" s="118"/>
    </row>
    <row r="344" spans="7:7" ht="14.5" thickBot="1" x14ac:dyDescent="0.35">
      <c r="G344" s="118"/>
    </row>
    <row r="345" spans="7:7" ht="14.5" thickBot="1" x14ac:dyDescent="0.35">
      <c r="G345" s="118"/>
    </row>
    <row r="346" spans="7:7" ht="14.5" thickBot="1" x14ac:dyDescent="0.35">
      <c r="G346" s="118"/>
    </row>
    <row r="347" spans="7:7" ht="14.5" thickBot="1" x14ac:dyDescent="0.35">
      <c r="G347" s="118"/>
    </row>
    <row r="348" spans="7:7" ht="14.5" thickBot="1" x14ac:dyDescent="0.35">
      <c r="G348" s="118"/>
    </row>
    <row r="349" spans="7:7" ht="14.5" thickBot="1" x14ac:dyDescent="0.35">
      <c r="G349" s="118"/>
    </row>
    <row r="350" spans="7:7" ht="14.5" thickBot="1" x14ac:dyDescent="0.35">
      <c r="G350" s="118"/>
    </row>
    <row r="351" spans="7:7" ht="14.5" thickBot="1" x14ac:dyDescent="0.35">
      <c r="G351" s="118"/>
    </row>
    <row r="352" spans="7:7" ht="14.5" thickBot="1" x14ac:dyDescent="0.35">
      <c r="G352" s="118"/>
    </row>
    <row r="353" spans="7:7" ht="14.5" thickBot="1" x14ac:dyDescent="0.35">
      <c r="G353" s="118"/>
    </row>
    <row r="354" spans="7:7" ht="14.5" thickBot="1" x14ac:dyDescent="0.35">
      <c r="G354" s="118"/>
    </row>
    <row r="355" spans="7:7" ht="14.5" thickBot="1" x14ac:dyDescent="0.35">
      <c r="G355" s="118"/>
    </row>
    <row r="356" spans="7:7" ht="14.5" thickBot="1" x14ac:dyDescent="0.35">
      <c r="G356" s="118"/>
    </row>
    <row r="357" spans="7:7" ht="14.5" thickBot="1" x14ac:dyDescent="0.35">
      <c r="G357" s="118"/>
    </row>
    <row r="358" spans="7:7" ht="14.5" thickBot="1" x14ac:dyDescent="0.35">
      <c r="G358" s="118"/>
    </row>
    <row r="359" spans="7:7" ht="14.5" thickBot="1" x14ac:dyDescent="0.35">
      <c r="G359" s="118"/>
    </row>
    <row r="360" spans="7:7" ht="14.5" thickBot="1" x14ac:dyDescent="0.35">
      <c r="G360" s="118"/>
    </row>
    <row r="361" spans="7:7" ht="14.5" thickBot="1" x14ac:dyDescent="0.35">
      <c r="G361" s="118"/>
    </row>
    <row r="362" spans="7:7" ht="14.5" thickBot="1" x14ac:dyDescent="0.35">
      <c r="G362" s="118"/>
    </row>
    <row r="363" spans="7:7" ht="14.5" thickBot="1" x14ac:dyDescent="0.35">
      <c r="G363" s="118"/>
    </row>
    <row r="364" spans="7:7" ht="14.5" thickBot="1" x14ac:dyDescent="0.35">
      <c r="G364" s="118"/>
    </row>
    <row r="365" spans="7:7" ht="14.5" thickBot="1" x14ac:dyDescent="0.35">
      <c r="G365" s="118"/>
    </row>
    <row r="366" spans="7:7" ht="14.5" thickBot="1" x14ac:dyDescent="0.35">
      <c r="G366" s="118"/>
    </row>
    <row r="367" spans="7:7" ht="14.5" thickBot="1" x14ac:dyDescent="0.35">
      <c r="G367" s="118"/>
    </row>
    <row r="368" spans="7:7" ht="14.5" thickBot="1" x14ac:dyDescent="0.35">
      <c r="G368" s="118"/>
    </row>
    <row r="369" spans="7:7" ht="14.5" thickBot="1" x14ac:dyDescent="0.35">
      <c r="G369" s="118"/>
    </row>
    <row r="370" spans="7:7" ht="14.5" thickBot="1" x14ac:dyDescent="0.35">
      <c r="G370" s="118"/>
    </row>
    <row r="371" spans="7:7" ht="14.5" thickBot="1" x14ac:dyDescent="0.35">
      <c r="G371" s="118"/>
    </row>
    <row r="372" spans="7:7" ht="14.5" thickBot="1" x14ac:dyDescent="0.35">
      <c r="G372" s="118"/>
    </row>
    <row r="373" spans="7:7" ht="14.5" thickBot="1" x14ac:dyDescent="0.35">
      <c r="G373" s="118"/>
    </row>
    <row r="374" spans="7:7" ht="14.5" thickBot="1" x14ac:dyDescent="0.35">
      <c r="G374" s="118"/>
    </row>
    <row r="375" spans="7:7" ht="14.5" thickBot="1" x14ac:dyDescent="0.35">
      <c r="G375" s="118"/>
    </row>
    <row r="376" spans="7:7" ht="14.5" thickBot="1" x14ac:dyDescent="0.35">
      <c r="G376" s="118"/>
    </row>
    <row r="377" spans="7:7" ht="14.5" thickBot="1" x14ac:dyDescent="0.35">
      <c r="G377" s="118"/>
    </row>
    <row r="378" spans="7:7" ht="14.5" thickBot="1" x14ac:dyDescent="0.35">
      <c r="G378" s="118"/>
    </row>
    <row r="379" spans="7:7" ht="14.5" thickBot="1" x14ac:dyDescent="0.35">
      <c r="G379" s="118"/>
    </row>
    <row r="380" spans="7:7" ht="14.5" thickBot="1" x14ac:dyDescent="0.35">
      <c r="G380" s="118"/>
    </row>
    <row r="381" spans="7:7" ht="14.5" thickBot="1" x14ac:dyDescent="0.35">
      <c r="G381" s="118"/>
    </row>
    <row r="382" spans="7:7" ht="14.5" thickBot="1" x14ac:dyDescent="0.35">
      <c r="G382" s="118"/>
    </row>
    <row r="383" spans="7:7" ht="14.5" thickBot="1" x14ac:dyDescent="0.35">
      <c r="G383" s="118"/>
    </row>
    <row r="384" spans="7:7" ht="14.5" thickBot="1" x14ac:dyDescent="0.35">
      <c r="G384" s="118"/>
    </row>
    <row r="385" spans="7:7" ht="14.5" thickBot="1" x14ac:dyDescent="0.35">
      <c r="G385" s="118"/>
    </row>
    <row r="386" spans="7:7" ht="14.5" thickBot="1" x14ac:dyDescent="0.35">
      <c r="G386" s="118"/>
    </row>
    <row r="387" spans="7:7" ht="14.5" thickBot="1" x14ac:dyDescent="0.35">
      <c r="G387" s="118"/>
    </row>
    <row r="388" spans="7:7" ht="14.5" thickBot="1" x14ac:dyDescent="0.35">
      <c r="G388" s="118"/>
    </row>
    <row r="389" spans="7:7" ht="14.5" thickBot="1" x14ac:dyDescent="0.35">
      <c r="G389" s="118"/>
    </row>
    <row r="390" spans="7:7" ht="14.5" thickBot="1" x14ac:dyDescent="0.35">
      <c r="G390" s="118"/>
    </row>
    <row r="391" spans="7:7" ht="14.5" thickBot="1" x14ac:dyDescent="0.35">
      <c r="G391" s="118"/>
    </row>
    <row r="392" spans="7:7" ht="14.5" thickBot="1" x14ac:dyDescent="0.35">
      <c r="G392" s="118"/>
    </row>
    <row r="393" spans="7:7" ht="14.5" thickBot="1" x14ac:dyDescent="0.35">
      <c r="G393" s="118"/>
    </row>
    <row r="394" spans="7:7" ht="14.5" thickBot="1" x14ac:dyDescent="0.35">
      <c r="G394" s="118"/>
    </row>
    <row r="395" spans="7:7" ht="14.5" thickBot="1" x14ac:dyDescent="0.35">
      <c r="G395" s="118"/>
    </row>
    <row r="396" spans="7:7" ht="14.5" thickBot="1" x14ac:dyDescent="0.35">
      <c r="G396" s="118"/>
    </row>
    <row r="397" spans="7:7" ht="14.5" thickBot="1" x14ac:dyDescent="0.35">
      <c r="G397" s="118"/>
    </row>
    <row r="398" spans="7:7" ht="14.5" thickBot="1" x14ac:dyDescent="0.35">
      <c r="G398" s="118"/>
    </row>
    <row r="399" spans="7:7" ht="14.5" thickBot="1" x14ac:dyDescent="0.35">
      <c r="G399" s="118"/>
    </row>
    <row r="400" spans="7:7" ht="14.5" thickBot="1" x14ac:dyDescent="0.35">
      <c r="G400" s="118"/>
    </row>
    <row r="401" spans="7:7" ht="14.5" thickBot="1" x14ac:dyDescent="0.35">
      <c r="G401" s="118"/>
    </row>
    <row r="402" spans="7:7" ht="14.5" thickBot="1" x14ac:dyDescent="0.35">
      <c r="G402" s="118"/>
    </row>
    <row r="403" spans="7:7" ht="14.5" thickBot="1" x14ac:dyDescent="0.35">
      <c r="G403" s="118"/>
    </row>
    <row r="404" spans="7:7" ht="14.5" thickBot="1" x14ac:dyDescent="0.35">
      <c r="G404" s="118"/>
    </row>
    <row r="405" spans="7:7" ht="14.5" thickBot="1" x14ac:dyDescent="0.35">
      <c r="G405" s="118"/>
    </row>
    <row r="406" spans="7:7" ht="14.5" thickBot="1" x14ac:dyDescent="0.35">
      <c r="G406" s="118"/>
    </row>
    <row r="407" spans="7:7" ht="14.5" thickBot="1" x14ac:dyDescent="0.35">
      <c r="G407" s="118"/>
    </row>
    <row r="408" spans="7:7" ht="14.5" thickBot="1" x14ac:dyDescent="0.35">
      <c r="G408" s="118"/>
    </row>
    <row r="409" spans="7:7" ht="14.5" thickBot="1" x14ac:dyDescent="0.35">
      <c r="G409" s="118"/>
    </row>
    <row r="410" spans="7:7" ht="14.5" thickBot="1" x14ac:dyDescent="0.35">
      <c r="G410" s="118"/>
    </row>
    <row r="411" spans="7:7" ht="14.5" thickBot="1" x14ac:dyDescent="0.35">
      <c r="G411" s="118"/>
    </row>
    <row r="412" spans="7:7" ht="14.5" thickBot="1" x14ac:dyDescent="0.35">
      <c r="G412" s="118"/>
    </row>
    <row r="413" spans="7:7" ht="14.5" thickBot="1" x14ac:dyDescent="0.35">
      <c r="G413" s="118"/>
    </row>
    <row r="414" spans="7:7" ht="14.5" thickBot="1" x14ac:dyDescent="0.35">
      <c r="G414" s="118"/>
    </row>
    <row r="415" spans="7:7" ht="14.5" thickBot="1" x14ac:dyDescent="0.35">
      <c r="G415" s="118"/>
    </row>
    <row r="416" spans="7:7" ht="14.5" thickBot="1" x14ac:dyDescent="0.35">
      <c r="G416" s="118"/>
    </row>
    <row r="417" spans="7:7" ht="14.5" thickBot="1" x14ac:dyDescent="0.35">
      <c r="G417" s="118"/>
    </row>
    <row r="418" spans="7:7" ht="14.5" thickBot="1" x14ac:dyDescent="0.35">
      <c r="G418" s="118"/>
    </row>
    <row r="419" spans="7:7" ht="14.5" thickBot="1" x14ac:dyDescent="0.35">
      <c r="G419" s="118"/>
    </row>
    <row r="420" spans="7:7" ht="14.5" thickBot="1" x14ac:dyDescent="0.35">
      <c r="G420" s="118"/>
    </row>
    <row r="421" spans="7:7" ht="14.5" thickBot="1" x14ac:dyDescent="0.35">
      <c r="G421" s="118"/>
    </row>
    <row r="422" spans="7:7" ht="14.5" thickBot="1" x14ac:dyDescent="0.35">
      <c r="G422" s="118"/>
    </row>
    <row r="423" spans="7:7" ht="14.5" thickBot="1" x14ac:dyDescent="0.35">
      <c r="G423" s="118"/>
    </row>
    <row r="424" spans="7:7" ht="14.5" thickBot="1" x14ac:dyDescent="0.35">
      <c r="G424" s="118"/>
    </row>
    <row r="425" spans="7:7" ht="14.5" thickBot="1" x14ac:dyDescent="0.35">
      <c r="G425" s="118"/>
    </row>
    <row r="426" spans="7:7" ht="14.5" thickBot="1" x14ac:dyDescent="0.35">
      <c r="G426" s="118"/>
    </row>
    <row r="427" spans="7:7" ht="14.5" thickBot="1" x14ac:dyDescent="0.35">
      <c r="G427" s="118"/>
    </row>
    <row r="428" spans="7:7" ht="14.5" thickBot="1" x14ac:dyDescent="0.35">
      <c r="G428" s="118"/>
    </row>
    <row r="429" spans="7:7" ht="14.5" thickBot="1" x14ac:dyDescent="0.35">
      <c r="G429" s="118"/>
    </row>
    <row r="430" spans="7:7" ht="14.5" thickBot="1" x14ac:dyDescent="0.35">
      <c r="G430" s="118"/>
    </row>
    <row r="431" spans="7:7" ht="14.5" thickBot="1" x14ac:dyDescent="0.35">
      <c r="G431" s="118"/>
    </row>
    <row r="432" spans="7:7" ht="14.5" thickBot="1" x14ac:dyDescent="0.35">
      <c r="G432" s="118"/>
    </row>
    <row r="433" spans="7:7" ht="14.5" thickBot="1" x14ac:dyDescent="0.35">
      <c r="G433" s="118"/>
    </row>
    <row r="434" spans="7:7" ht="14.5" thickBot="1" x14ac:dyDescent="0.35">
      <c r="G434" s="118"/>
    </row>
    <row r="435" spans="7:7" ht="14.5" thickBot="1" x14ac:dyDescent="0.35">
      <c r="G435" s="118"/>
    </row>
    <row r="436" spans="7:7" ht="14.5" thickBot="1" x14ac:dyDescent="0.35">
      <c r="G436" s="118"/>
    </row>
    <row r="437" spans="7:7" ht="14.5" thickBot="1" x14ac:dyDescent="0.35">
      <c r="G437" s="118"/>
    </row>
    <row r="438" spans="7:7" ht="14.5" thickBot="1" x14ac:dyDescent="0.35">
      <c r="G438" s="118"/>
    </row>
    <row r="439" spans="7:7" ht="14.5" thickBot="1" x14ac:dyDescent="0.35">
      <c r="G439" s="118"/>
    </row>
    <row r="440" spans="7:7" ht="14.5" thickBot="1" x14ac:dyDescent="0.35">
      <c r="G440" s="118"/>
    </row>
    <row r="441" spans="7:7" ht="14.5" thickBot="1" x14ac:dyDescent="0.35">
      <c r="G441" s="118"/>
    </row>
    <row r="442" spans="7:7" ht="14.5" thickBot="1" x14ac:dyDescent="0.35">
      <c r="G442" s="118"/>
    </row>
    <row r="443" spans="7:7" ht="14.5" thickBot="1" x14ac:dyDescent="0.35">
      <c r="G443" s="118"/>
    </row>
    <row r="444" spans="7:7" ht="14.5" thickBot="1" x14ac:dyDescent="0.35">
      <c r="G444" s="118"/>
    </row>
    <row r="445" spans="7:7" ht="14.5" thickBot="1" x14ac:dyDescent="0.35">
      <c r="G445" s="118"/>
    </row>
    <row r="446" spans="7:7" ht="14.5" thickBot="1" x14ac:dyDescent="0.35">
      <c r="G446" s="118"/>
    </row>
    <row r="447" spans="7:7" ht="14.5" thickBot="1" x14ac:dyDescent="0.35">
      <c r="G447" s="118"/>
    </row>
    <row r="448" spans="7:7" ht="14.5" thickBot="1" x14ac:dyDescent="0.35">
      <c r="G448" s="118"/>
    </row>
    <row r="449" spans="7:7" ht="14.5" thickBot="1" x14ac:dyDescent="0.35">
      <c r="G449" s="118"/>
    </row>
    <row r="450" spans="7:7" ht="14.5" thickBot="1" x14ac:dyDescent="0.35">
      <c r="G450" s="118"/>
    </row>
    <row r="451" spans="7:7" ht="14.5" thickBot="1" x14ac:dyDescent="0.35">
      <c r="G451" s="118"/>
    </row>
    <row r="452" spans="7:7" ht="14.5" thickBot="1" x14ac:dyDescent="0.35">
      <c r="G452" s="118"/>
    </row>
    <row r="453" spans="7:7" ht="14.5" thickBot="1" x14ac:dyDescent="0.35">
      <c r="G453" s="118"/>
    </row>
    <row r="454" spans="7:7" ht="14.5" thickBot="1" x14ac:dyDescent="0.35">
      <c r="G454" s="118"/>
    </row>
    <row r="455" spans="7:7" ht="14.5" thickBot="1" x14ac:dyDescent="0.35">
      <c r="G455" s="118"/>
    </row>
    <row r="456" spans="7:7" ht="14.5" thickBot="1" x14ac:dyDescent="0.35">
      <c r="G456" s="118"/>
    </row>
    <row r="457" spans="7:7" ht="14.5" thickBot="1" x14ac:dyDescent="0.35">
      <c r="G457" s="118"/>
    </row>
    <row r="458" spans="7:7" ht="14.5" thickBot="1" x14ac:dyDescent="0.35">
      <c r="G458" s="118"/>
    </row>
    <row r="459" spans="7:7" ht="14.5" thickBot="1" x14ac:dyDescent="0.35">
      <c r="G459" s="118"/>
    </row>
    <row r="460" spans="7:7" ht="14.5" thickBot="1" x14ac:dyDescent="0.35">
      <c r="G460" s="118"/>
    </row>
    <row r="461" spans="7:7" ht="14.5" thickBot="1" x14ac:dyDescent="0.35">
      <c r="G461" s="118"/>
    </row>
    <row r="462" spans="7:7" ht="14.5" thickBot="1" x14ac:dyDescent="0.35">
      <c r="G462" s="118"/>
    </row>
    <row r="463" spans="7:7" ht="14.5" thickBot="1" x14ac:dyDescent="0.35">
      <c r="G463" s="118"/>
    </row>
    <row r="464" spans="7:7" ht="14.5" thickBot="1" x14ac:dyDescent="0.35">
      <c r="G464" s="118"/>
    </row>
    <row r="465" spans="7:7" ht="14.5" thickBot="1" x14ac:dyDescent="0.35">
      <c r="G465" s="118"/>
    </row>
    <row r="466" spans="7:7" ht="14.5" thickBot="1" x14ac:dyDescent="0.35">
      <c r="G466" s="118"/>
    </row>
    <row r="467" spans="7:7" ht="14.5" thickBot="1" x14ac:dyDescent="0.35">
      <c r="G467" s="118"/>
    </row>
    <row r="468" spans="7:7" ht="14.5" thickBot="1" x14ac:dyDescent="0.35">
      <c r="G468" s="118"/>
    </row>
    <row r="469" spans="7:7" ht="14.5" thickBot="1" x14ac:dyDescent="0.35">
      <c r="G469" s="118"/>
    </row>
    <row r="470" spans="7:7" ht="14.5" thickBot="1" x14ac:dyDescent="0.35">
      <c r="G470" s="118"/>
    </row>
    <row r="471" spans="7:7" ht="14.5" thickBot="1" x14ac:dyDescent="0.35">
      <c r="G471" s="118"/>
    </row>
    <row r="472" spans="7:7" ht="14.5" thickBot="1" x14ac:dyDescent="0.35">
      <c r="G472" s="118"/>
    </row>
    <row r="473" spans="7:7" ht="14.5" thickBot="1" x14ac:dyDescent="0.35">
      <c r="G473" s="118"/>
    </row>
    <row r="474" spans="7:7" ht="14.5" thickBot="1" x14ac:dyDescent="0.35">
      <c r="G474" s="118"/>
    </row>
    <row r="475" spans="7:7" ht="14.5" thickBot="1" x14ac:dyDescent="0.35">
      <c r="G475" s="118"/>
    </row>
    <row r="476" spans="7:7" ht="14.5" thickBot="1" x14ac:dyDescent="0.35">
      <c r="G476" s="118"/>
    </row>
    <row r="477" spans="7:7" ht="14.5" thickBot="1" x14ac:dyDescent="0.35">
      <c r="G477" s="118"/>
    </row>
    <row r="478" spans="7:7" ht="14.5" thickBot="1" x14ac:dyDescent="0.35">
      <c r="G478" s="118"/>
    </row>
    <row r="479" spans="7:7" ht="14.5" thickBot="1" x14ac:dyDescent="0.35">
      <c r="G479" s="118"/>
    </row>
    <row r="480" spans="7:7" ht="14.5" thickBot="1" x14ac:dyDescent="0.35">
      <c r="G480" s="118"/>
    </row>
    <row r="481" spans="7:7" ht="14.5" thickBot="1" x14ac:dyDescent="0.35">
      <c r="G481" s="118"/>
    </row>
    <row r="482" spans="7:7" ht="14.5" thickBot="1" x14ac:dyDescent="0.35">
      <c r="G482" s="118"/>
    </row>
    <row r="483" spans="7:7" ht="14.5" thickBot="1" x14ac:dyDescent="0.35">
      <c r="G483" s="118"/>
    </row>
    <row r="484" spans="7:7" ht="14.5" thickBot="1" x14ac:dyDescent="0.35">
      <c r="G484" s="118"/>
    </row>
    <row r="485" spans="7:7" ht="14.5" thickBot="1" x14ac:dyDescent="0.35">
      <c r="G485" s="118"/>
    </row>
    <row r="486" spans="7:7" ht="14.5" thickBot="1" x14ac:dyDescent="0.35">
      <c r="G486" s="118"/>
    </row>
    <row r="487" spans="7:7" ht="14.5" thickBot="1" x14ac:dyDescent="0.35">
      <c r="G487" s="118"/>
    </row>
    <row r="488" spans="7:7" ht="14.5" thickBot="1" x14ac:dyDescent="0.35">
      <c r="G488" s="118"/>
    </row>
    <row r="489" spans="7:7" ht="14.5" thickBot="1" x14ac:dyDescent="0.35">
      <c r="G489" s="118"/>
    </row>
    <row r="490" spans="7:7" ht="14.5" thickBot="1" x14ac:dyDescent="0.35">
      <c r="G490" s="118"/>
    </row>
    <row r="491" spans="7:7" ht="14.5" thickBot="1" x14ac:dyDescent="0.35">
      <c r="G491" s="118"/>
    </row>
    <row r="492" spans="7:7" ht="14.5" thickBot="1" x14ac:dyDescent="0.35">
      <c r="G492" s="118"/>
    </row>
    <row r="493" spans="7:7" ht="14.5" thickBot="1" x14ac:dyDescent="0.35">
      <c r="G493" s="118"/>
    </row>
    <row r="494" spans="7:7" ht="14.5" thickBot="1" x14ac:dyDescent="0.35">
      <c r="G494" s="118"/>
    </row>
    <row r="495" spans="7:7" ht="14.5" thickBot="1" x14ac:dyDescent="0.35">
      <c r="G495" s="118"/>
    </row>
    <row r="496" spans="7:7" ht="14.5" thickBot="1" x14ac:dyDescent="0.35">
      <c r="G496" s="118"/>
    </row>
    <row r="497" spans="7:7" ht="14.5" thickBot="1" x14ac:dyDescent="0.35">
      <c r="G497" s="118"/>
    </row>
    <row r="498" spans="7:7" ht="14.5" thickBot="1" x14ac:dyDescent="0.35">
      <c r="G498" s="118"/>
    </row>
    <row r="499" spans="7:7" ht="14.5" thickBot="1" x14ac:dyDescent="0.35">
      <c r="G499" s="118"/>
    </row>
    <row r="500" spans="7:7" ht="14.5" thickBot="1" x14ac:dyDescent="0.35">
      <c r="G500" s="118"/>
    </row>
    <row r="501" spans="7:7" ht="14.5" thickBot="1" x14ac:dyDescent="0.35">
      <c r="G501" s="118"/>
    </row>
    <row r="502" spans="7:7" ht="14.5" thickBot="1" x14ac:dyDescent="0.35">
      <c r="G502" s="118"/>
    </row>
    <row r="503" spans="7:7" ht="14.5" thickBot="1" x14ac:dyDescent="0.35">
      <c r="G503" s="118"/>
    </row>
    <row r="504" spans="7:7" ht="14.5" thickBot="1" x14ac:dyDescent="0.35">
      <c r="G504" s="118"/>
    </row>
    <row r="505" spans="7:7" ht="14.5" thickBot="1" x14ac:dyDescent="0.35">
      <c r="G505" s="118"/>
    </row>
    <row r="506" spans="7:7" ht="14.5" thickBot="1" x14ac:dyDescent="0.35">
      <c r="G506" s="118"/>
    </row>
    <row r="507" spans="7:7" ht="14.5" thickBot="1" x14ac:dyDescent="0.35">
      <c r="G507" s="118"/>
    </row>
    <row r="508" spans="7:7" ht="14.5" thickBot="1" x14ac:dyDescent="0.35">
      <c r="G508" s="118"/>
    </row>
    <row r="509" spans="7:7" ht="14.5" thickBot="1" x14ac:dyDescent="0.35">
      <c r="G509" s="118"/>
    </row>
    <row r="510" spans="7:7" ht="14.5" thickBot="1" x14ac:dyDescent="0.35">
      <c r="G510" s="118"/>
    </row>
    <row r="511" spans="7:7" ht="14.5" thickBot="1" x14ac:dyDescent="0.35">
      <c r="G511" s="118"/>
    </row>
    <row r="512" spans="7:7" ht="14.5" thickBot="1" x14ac:dyDescent="0.35">
      <c r="G512" s="118"/>
    </row>
    <row r="513" spans="7:7" ht="14.5" thickBot="1" x14ac:dyDescent="0.35">
      <c r="G513" s="118"/>
    </row>
    <row r="514" spans="7:7" ht="14.5" thickBot="1" x14ac:dyDescent="0.35">
      <c r="G514" s="118"/>
    </row>
    <row r="515" spans="7:7" ht="14.5" thickBot="1" x14ac:dyDescent="0.35">
      <c r="G515" s="118"/>
    </row>
    <row r="516" spans="7:7" ht="14.5" thickBot="1" x14ac:dyDescent="0.35">
      <c r="G516" s="118"/>
    </row>
    <row r="517" spans="7:7" ht="14.5" thickBot="1" x14ac:dyDescent="0.35">
      <c r="G517" s="118"/>
    </row>
    <row r="518" spans="7:7" ht="14.5" thickBot="1" x14ac:dyDescent="0.35">
      <c r="G518" s="118"/>
    </row>
    <row r="519" spans="7:7" ht="14.5" thickBot="1" x14ac:dyDescent="0.35">
      <c r="G519" s="118"/>
    </row>
    <row r="520" spans="7:7" ht="14.5" thickBot="1" x14ac:dyDescent="0.35">
      <c r="G520" s="118"/>
    </row>
    <row r="521" spans="7:7" ht="14.5" thickBot="1" x14ac:dyDescent="0.35">
      <c r="G521" s="118"/>
    </row>
    <row r="522" spans="7:7" ht="14.5" thickBot="1" x14ac:dyDescent="0.35">
      <c r="G522" s="118"/>
    </row>
    <row r="523" spans="7:7" ht="14.5" thickBot="1" x14ac:dyDescent="0.35">
      <c r="G523" s="118"/>
    </row>
    <row r="524" spans="7:7" ht="14.5" thickBot="1" x14ac:dyDescent="0.35">
      <c r="G524" s="118"/>
    </row>
    <row r="525" spans="7:7" ht="14.5" thickBot="1" x14ac:dyDescent="0.35">
      <c r="G525" s="118"/>
    </row>
    <row r="526" spans="7:7" ht="14.5" thickBot="1" x14ac:dyDescent="0.35">
      <c r="G526" s="118"/>
    </row>
    <row r="527" spans="7:7" ht="14.5" thickBot="1" x14ac:dyDescent="0.35">
      <c r="G527" s="118"/>
    </row>
    <row r="528" spans="7:7" ht="14.5" thickBot="1" x14ac:dyDescent="0.35">
      <c r="G528" s="118"/>
    </row>
    <row r="529" spans="7:7" ht="14.5" thickBot="1" x14ac:dyDescent="0.35">
      <c r="G529" s="118"/>
    </row>
    <row r="530" spans="7:7" ht="14.5" thickBot="1" x14ac:dyDescent="0.35">
      <c r="G530" s="118"/>
    </row>
    <row r="531" spans="7:7" ht="14.5" thickBot="1" x14ac:dyDescent="0.35">
      <c r="G531" s="118"/>
    </row>
    <row r="532" spans="7:7" ht="14.5" thickBot="1" x14ac:dyDescent="0.35">
      <c r="G532" s="118"/>
    </row>
    <row r="533" spans="7:7" ht="14.5" thickBot="1" x14ac:dyDescent="0.35">
      <c r="G533" s="118"/>
    </row>
    <row r="534" spans="7:7" ht="14.5" thickBot="1" x14ac:dyDescent="0.35">
      <c r="G534" s="118"/>
    </row>
    <row r="535" spans="7:7" ht="14.5" thickBot="1" x14ac:dyDescent="0.35">
      <c r="G535" s="118"/>
    </row>
    <row r="536" spans="7:7" ht="14.5" thickBot="1" x14ac:dyDescent="0.35">
      <c r="G536" s="118"/>
    </row>
    <row r="537" spans="7:7" ht="14.5" thickBot="1" x14ac:dyDescent="0.35">
      <c r="G537" s="118"/>
    </row>
    <row r="538" spans="7:7" ht="14.5" thickBot="1" x14ac:dyDescent="0.35">
      <c r="G538" s="118"/>
    </row>
    <row r="539" spans="7:7" ht="14.5" thickBot="1" x14ac:dyDescent="0.35">
      <c r="G539" s="118"/>
    </row>
    <row r="540" spans="7:7" ht="14.5" thickBot="1" x14ac:dyDescent="0.35">
      <c r="G540" s="118"/>
    </row>
    <row r="541" spans="7:7" ht="14.5" thickBot="1" x14ac:dyDescent="0.35">
      <c r="G541" s="118"/>
    </row>
    <row r="542" spans="7:7" ht="14.5" thickBot="1" x14ac:dyDescent="0.35">
      <c r="G542" s="118"/>
    </row>
    <row r="543" spans="7:7" ht="14.5" thickBot="1" x14ac:dyDescent="0.35">
      <c r="G543" s="118"/>
    </row>
    <row r="544" spans="7:7" ht="14.5" thickBot="1" x14ac:dyDescent="0.35">
      <c r="G544" s="118"/>
    </row>
    <row r="545" spans="7:7" ht="14.5" thickBot="1" x14ac:dyDescent="0.35">
      <c r="G545" s="118"/>
    </row>
    <row r="546" spans="7:7" ht="14.5" thickBot="1" x14ac:dyDescent="0.35">
      <c r="G546" s="118"/>
    </row>
    <row r="547" spans="7:7" ht="14.5" thickBot="1" x14ac:dyDescent="0.35">
      <c r="G547" s="118"/>
    </row>
    <row r="548" spans="7:7" ht="14.5" thickBot="1" x14ac:dyDescent="0.35">
      <c r="G548" s="118"/>
    </row>
    <row r="549" spans="7:7" ht="14.5" thickBot="1" x14ac:dyDescent="0.35">
      <c r="G549" s="118"/>
    </row>
    <row r="550" spans="7:7" ht="14.5" thickBot="1" x14ac:dyDescent="0.35">
      <c r="G550" s="118"/>
    </row>
    <row r="551" spans="7:7" ht="14.5" thickBot="1" x14ac:dyDescent="0.35">
      <c r="G551" s="118"/>
    </row>
    <row r="552" spans="7:7" ht="14.5" thickBot="1" x14ac:dyDescent="0.35">
      <c r="G552" s="118"/>
    </row>
    <row r="553" spans="7:7" ht="14.5" thickBot="1" x14ac:dyDescent="0.35">
      <c r="G553" s="118"/>
    </row>
    <row r="554" spans="7:7" ht="14.5" thickBot="1" x14ac:dyDescent="0.35">
      <c r="G554" s="118"/>
    </row>
    <row r="555" spans="7:7" ht="14.5" thickBot="1" x14ac:dyDescent="0.35">
      <c r="G555" s="118"/>
    </row>
    <row r="556" spans="7:7" ht="14.5" thickBot="1" x14ac:dyDescent="0.35">
      <c r="G556" s="118"/>
    </row>
    <row r="557" spans="7:7" ht="14.5" thickBot="1" x14ac:dyDescent="0.35">
      <c r="G557" s="118"/>
    </row>
    <row r="558" spans="7:7" ht="14.5" thickBot="1" x14ac:dyDescent="0.35">
      <c r="G558" s="118"/>
    </row>
    <row r="559" spans="7:7" ht="14.5" thickBot="1" x14ac:dyDescent="0.35">
      <c r="G559" s="118"/>
    </row>
    <row r="560" spans="7:7" ht="14.5" thickBot="1" x14ac:dyDescent="0.35">
      <c r="G560" s="118"/>
    </row>
    <row r="561" spans="7:7" ht="14.5" thickBot="1" x14ac:dyDescent="0.35">
      <c r="G561" s="118"/>
    </row>
    <row r="562" spans="7:7" ht="14.5" thickBot="1" x14ac:dyDescent="0.35">
      <c r="G562" s="118"/>
    </row>
    <row r="563" spans="7:7" ht="14.5" thickBot="1" x14ac:dyDescent="0.35">
      <c r="G563" s="118"/>
    </row>
    <row r="564" spans="7:7" ht="14.5" thickBot="1" x14ac:dyDescent="0.35">
      <c r="G564" s="118"/>
    </row>
    <row r="565" spans="7:7" ht="14.5" thickBot="1" x14ac:dyDescent="0.35">
      <c r="G565" s="118"/>
    </row>
    <row r="566" spans="7:7" ht="14.5" thickBot="1" x14ac:dyDescent="0.35">
      <c r="G566" s="118"/>
    </row>
    <row r="567" spans="7:7" ht="14.5" thickBot="1" x14ac:dyDescent="0.35">
      <c r="G567" s="118"/>
    </row>
    <row r="568" spans="7:7" ht="14.5" thickBot="1" x14ac:dyDescent="0.35">
      <c r="G568" s="118"/>
    </row>
    <row r="569" spans="7:7" ht="14.5" thickBot="1" x14ac:dyDescent="0.35">
      <c r="G569" s="118"/>
    </row>
    <row r="570" spans="7:7" ht="14.5" thickBot="1" x14ac:dyDescent="0.35">
      <c r="G570" s="118"/>
    </row>
    <row r="571" spans="7:7" ht="14.5" thickBot="1" x14ac:dyDescent="0.35">
      <c r="G571" s="118"/>
    </row>
    <row r="572" spans="7:7" ht="14.5" thickBot="1" x14ac:dyDescent="0.35">
      <c r="G572" s="118"/>
    </row>
    <row r="573" spans="7:7" ht="14.5" thickBot="1" x14ac:dyDescent="0.35">
      <c r="G573" s="118"/>
    </row>
    <row r="574" spans="7:7" ht="14.5" thickBot="1" x14ac:dyDescent="0.35">
      <c r="G574" s="118"/>
    </row>
    <row r="575" spans="7:7" ht="14.5" thickBot="1" x14ac:dyDescent="0.35">
      <c r="G575" s="118"/>
    </row>
    <row r="576" spans="7:7" ht="14.5" thickBot="1" x14ac:dyDescent="0.35">
      <c r="G576" s="118"/>
    </row>
    <row r="577" spans="7:7" ht="14.5" thickBot="1" x14ac:dyDescent="0.35">
      <c r="G577" s="118"/>
    </row>
    <row r="578" spans="7:7" ht="14.5" thickBot="1" x14ac:dyDescent="0.35">
      <c r="G578" s="118"/>
    </row>
    <row r="579" spans="7:7" ht="14.5" thickBot="1" x14ac:dyDescent="0.35">
      <c r="G579" s="118"/>
    </row>
    <row r="580" spans="7:7" ht="14.5" thickBot="1" x14ac:dyDescent="0.35">
      <c r="G580" s="118"/>
    </row>
    <row r="581" spans="7:7" ht="14.5" thickBot="1" x14ac:dyDescent="0.35">
      <c r="G581" s="118"/>
    </row>
    <row r="582" spans="7:7" ht="14.5" thickBot="1" x14ac:dyDescent="0.35">
      <c r="G582" s="118"/>
    </row>
    <row r="583" spans="7:7" ht="14.5" thickBot="1" x14ac:dyDescent="0.35">
      <c r="G583" s="118"/>
    </row>
    <row r="584" spans="7:7" ht="14.5" thickBot="1" x14ac:dyDescent="0.35">
      <c r="G584" s="118"/>
    </row>
    <row r="585" spans="7:7" ht="14.5" thickBot="1" x14ac:dyDescent="0.35">
      <c r="G585" s="118"/>
    </row>
    <row r="586" spans="7:7" ht="14.5" thickBot="1" x14ac:dyDescent="0.35">
      <c r="G586" s="118"/>
    </row>
    <row r="587" spans="7:7" ht="14.5" thickBot="1" x14ac:dyDescent="0.35">
      <c r="G587" s="118"/>
    </row>
    <row r="588" spans="7:7" ht="14.5" thickBot="1" x14ac:dyDescent="0.35">
      <c r="G588" s="118"/>
    </row>
    <row r="589" spans="7:7" ht="14.5" thickBot="1" x14ac:dyDescent="0.35">
      <c r="G589" s="118"/>
    </row>
    <row r="590" spans="7:7" ht="14.5" thickBot="1" x14ac:dyDescent="0.35">
      <c r="G590" s="118"/>
    </row>
    <row r="591" spans="7:7" ht="14.5" thickBot="1" x14ac:dyDescent="0.35">
      <c r="G591" s="118"/>
    </row>
    <row r="592" spans="7:7" ht="14.5" thickBot="1" x14ac:dyDescent="0.35">
      <c r="G592" s="118"/>
    </row>
    <row r="593" spans="7:7" ht="14.5" thickBot="1" x14ac:dyDescent="0.35">
      <c r="G593" s="118"/>
    </row>
    <row r="594" spans="7:7" ht="14.5" thickBot="1" x14ac:dyDescent="0.35">
      <c r="G594" s="118"/>
    </row>
    <row r="595" spans="7:7" ht="14.5" thickBot="1" x14ac:dyDescent="0.35">
      <c r="G595" s="118"/>
    </row>
    <row r="596" spans="7:7" ht="14.5" thickBot="1" x14ac:dyDescent="0.35">
      <c r="G596" s="118"/>
    </row>
    <row r="597" spans="7:7" ht="14.5" thickBot="1" x14ac:dyDescent="0.35">
      <c r="G597" s="118"/>
    </row>
    <row r="598" spans="7:7" ht="14.5" thickBot="1" x14ac:dyDescent="0.35">
      <c r="G598" s="118"/>
    </row>
    <row r="599" spans="7:7" ht="14.5" thickBot="1" x14ac:dyDescent="0.35">
      <c r="G599" s="118"/>
    </row>
    <row r="600" spans="7:7" ht="14.5" thickBot="1" x14ac:dyDescent="0.35">
      <c r="G600" s="118"/>
    </row>
    <row r="601" spans="7:7" ht="14.5" thickBot="1" x14ac:dyDescent="0.35">
      <c r="G601" s="118"/>
    </row>
    <row r="602" spans="7:7" ht="14.5" thickBot="1" x14ac:dyDescent="0.35">
      <c r="G602" s="118"/>
    </row>
    <row r="603" spans="7:7" ht="14.5" thickBot="1" x14ac:dyDescent="0.35">
      <c r="G603" s="118"/>
    </row>
    <row r="604" spans="7:7" ht="14.5" thickBot="1" x14ac:dyDescent="0.35">
      <c r="G604" s="118"/>
    </row>
    <row r="605" spans="7:7" ht="14.5" thickBot="1" x14ac:dyDescent="0.35">
      <c r="G605" s="118"/>
    </row>
    <row r="606" spans="7:7" ht="14.5" thickBot="1" x14ac:dyDescent="0.35">
      <c r="G606" s="118"/>
    </row>
    <row r="607" spans="7:7" ht="14.5" thickBot="1" x14ac:dyDescent="0.35">
      <c r="G607" s="118"/>
    </row>
    <row r="608" spans="7:7" ht="14.5" thickBot="1" x14ac:dyDescent="0.35">
      <c r="G608" s="118"/>
    </row>
    <row r="609" spans="7:7" ht="14.5" thickBot="1" x14ac:dyDescent="0.35">
      <c r="G609" s="118"/>
    </row>
    <row r="610" spans="7:7" ht="14.5" thickBot="1" x14ac:dyDescent="0.35">
      <c r="G610" s="118"/>
    </row>
    <row r="611" spans="7:7" ht="14.5" thickBot="1" x14ac:dyDescent="0.35">
      <c r="G611" s="118"/>
    </row>
    <row r="612" spans="7:7" ht="14.5" thickBot="1" x14ac:dyDescent="0.35">
      <c r="G612" s="118"/>
    </row>
    <row r="613" spans="7:7" ht="14.5" thickBot="1" x14ac:dyDescent="0.35">
      <c r="G613" s="118"/>
    </row>
    <row r="614" spans="7:7" ht="14.5" thickBot="1" x14ac:dyDescent="0.35">
      <c r="G614" s="118"/>
    </row>
    <row r="615" spans="7:7" ht="14.5" thickBot="1" x14ac:dyDescent="0.35">
      <c r="G615" s="118"/>
    </row>
    <row r="616" spans="7:7" ht="14.5" thickBot="1" x14ac:dyDescent="0.35">
      <c r="G616" s="118"/>
    </row>
    <row r="617" spans="7:7" ht="14.5" thickBot="1" x14ac:dyDescent="0.35">
      <c r="G617" s="118"/>
    </row>
    <row r="618" spans="7:7" ht="14.5" thickBot="1" x14ac:dyDescent="0.35">
      <c r="G618" s="118"/>
    </row>
    <row r="619" spans="7:7" ht="14.5" thickBot="1" x14ac:dyDescent="0.35">
      <c r="G619" s="118"/>
    </row>
    <row r="620" spans="7:7" ht="14.5" thickBot="1" x14ac:dyDescent="0.35">
      <c r="G620" s="118"/>
    </row>
    <row r="621" spans="7:7" ht="14.5" thickBot="1" x14ac:dyDescent="0.35">
      <c r="G621" s="118"/>
    </row>
    <row r="622" spans="7:7" ht="14.5" thickBot="1" x14ac:dyDescent="0.35">
      <c r="G622" s="118"/>
    </row>
    <row r="623" spans="7:7" ht="14.5" thickBot="1" x14ac:dyDescent="0.35">
      <c r="G623" s="118"/>
    </row>
    <row r="624" spans="7:7" ht="14.5" thickBot="1" x14ac:dyDescent="0.35">
      <c r="G624" s="118"/>
    </row>
    <row r="625" spans="7:7" ht="14.5" thickBot="1" x14ac:dyDescent="0.35">
      <c r="G625" s="118"/>
    </row>
    <row r="626" spans="7:7" ht="14.5" thickBot="1" x14ac:dyDescent="0.35">
      <c r="G626" s="118"/>
    </row>
    <row r="627" spans="7:7" ht="14.5" thickBot="1" x14ac:dyDescent="0.35">
      <c r="G627" s="118"/>
    </row>
    <row r="628" spans="7:7" ht="14.5" thickBot="1" x14ac:dyDescent="0.35">
      <c r="G628" s="118"/>
    </row>
    <row r="629" spans="7:7" ht="14.5" thickBot="1" x14ac:dyDescent="0.35">
      <c r="G629" s="118"/>
    </row>
    <row r="630" spans="7:7" ht="14.5" thickBot="1" x14ac:dyDescent="0.35">
      <c r="G630" s="118"/>
    </row>
    <row r="631" spans="7:7" ht="14.5" thickBot="1" x14ac:dyDescent="0.35">
      <c r="G631" s="118"/>
    </row>
    <row r="632" spans="7:7" ht="14.5" thickBot="1" x14ac:dyDescent="0.35">
      <c r="G632" s="118"/>
    </row>
    <row r="633" spans="7:7" ht="14.5" thickBot="1" x14ac:dyDescent="0.35">
      <c r="G633" s="118"/>
    </row>
    <row r="634" spans="7:7" ht="14.5" thickBot="1" x14ac:dyDescent="0.35">
      <c r="G634" s="118"/>
    </row>
    <row r="635" spans="7:7" ht="14.5" thickBot="1" x14ac:dyDescent="0.35">
      <c r="G635" s="118"/>
    </row>
    <row r="636" spans="7:7" ht="14.5" thickBot="1" x14ac:dyDescent="0.35">
      <c r="G636" s="118"/>
    </row>
    <row r="637" spans="7:7" ht="14.5" thickBot="1" x14ac:dyDescent="0.35">
      <c r="G637" s="118"/>
    </row>
    <row r="638" spans="7:7" ht="14.5" thickBot="1" x14ac:dyDescent="0.35">
      <c r="G638" s="118"/>
    </row>
    <row r="639" spans="7:7" ht="14.5" thickBot="1" x14ac:dyDescent="0.35">
      <c r="G639" s="118"/>
    </row>
    <row r="640" spans="7:7" ht="14.5" thickBot="1" x14ac:dyDescent="0.35">
      <c r="G640" s="118"/>
    </row>
    <row r="641" spans="7:7" ht="14.5" thickBot="1" x14ac:dyDescent="0.35">
      <c r="G641" s="118"/>
    </row>
    <row r="642" spans="7:7" ht="14.5" thickBot="1" x14ac:dyDescent="0.35">
      <c r="G642" s="118"/>
    </row>
    <row r="643" spans="7:7" ht="14.5" thickBot="1" x14ac:dyDescent="0.35">
      <c r="G643" s="118"/>
    </row>
    <row r="644" spans="7:7" ht="14.5" thickBot="1" x14ac:dyDescent="0.35">
      <c r="G644" s="118"/>
    </row>
    <row r="645" spans="7:7" ht="14.5" thickBot="1" x14ac:dyDescent="0.35">
      <c r="G645" s="118"/>
    </row>
    <row r="646" spans="7:7" ht="14.5" thickBot="1" x14ac:dyDescent="0.35">
      <c r="G646" s="118"/>
    </row>
    <row r="647" spans="7:7" ht="14.5" thickBot="1" x14ac:dyDescent="0.35">
      <c r="G647" s="118"/>
    </row>
    <row r="648" spans="7:7" ht="14.5" thickBot="1" x14ac:dyDescent="0.35">
      <c r="G648" s="118"/>
    </row>
    <row r="649" spans="7:7" ht="14.5" thickBot="1" x14ac:dyDescent="0.35">
      <c r="G649" s="118"/>
    </row>
    <row r="650" spans="7:7" ht="14.5" thickBot="1" x14ac:dyDescent="0.35">
      <c r="G650" s="118"/>
    </row>
    <row r="651" spans="7:7" ht="14.5" thickBot="1" x14ac:dyDescent="0.35">
      <c r="G651" s="118"/>
    </row>
    <row r="652" spans="7:7" ht="14.5" thickBot="1" x14ac:dyDescent="0.35">
      <c r="G652" s="118"/>
    </row>
    <row r="653" spans="7:7" ht="14.5" thickBot="1" x14ac:dyDescent="0.35">
      <c r="G653" s="118"/>
    </row>
    <row r="654" spans="7:7" ht="14.5" thickBot="1" x14ac:dyDescent="0.35">
      <c r="G654" s="118"/>
    </row>
    <row r="655" spans="7:7" ht="14.5" thickBot="1" x14ac:dyDescent="0.35">
      <c r="G655" s="118"/>
    </row>
    <row r="656" spans="7:7" ht="14.5" thickBot="1" x14ac:dyDescent="0.35">
      <c r="G656" s="118"/>
    </row>
    <row r="657" spans="7:7" ht="14.5" thickBot="1" x14ac:dyDescent="0.35">
      <c r="G657" s="118"/>
    </row>
    <row r="658" spans="7:7" ht="14.5" thickBot="1" x14ac:dyDescent="0.35">
      <c r="G658" s="118"/>
    </row>
    <row r="659" spans="7:7" ht="14.5" thickBot="1" x14ac:dyDescent="0.35">
      <c r="G659" s="118"/>
    </row>
    <row r="660" spans="7:7" ht="14.5" thickBot="1" x14ac:dyDescent="0.35">
      <c r="G660" s="118"/>
    </row>
    <row r="661" spans="7:7" ht="14.5" thickBot="1" x14ac:dyDescent="0.35">
      <c r="G661" s="118"/>
    </row>
    <row r="662" spans="7:7" ht="14.5" thickBot="1" x14ac:dyDescent="0.35">
      <c r="G662" s="118"/>
    </row>
    <row r="663" spans="7:7" ht="14.5" thickBot="1" x14ac:dyDescent="0.35">
      <c r="G663" s="118"/>
    </row>
    <row r="664" spans="7:7" ht="14.5" thickBot="1" x14ac:dyDescent="0.35">
      <c r="G664" s="118"/>
    </row>
    <row r="665" spans="7:7" ht="14.5" thickBot="1" x14ac:dyDescent="0.35">
      <c r="G665" s="118"/>
    </row>
    <row r="666" spans="7:7" ht="14.5" thickBot="1" x14ac:dyDescent="0.35">
      <c r="G666" s="118"/>
    </row>
    <row r="667" spans="7:7" ht="14.5" thickBot="1" x14ac:dyDescent="0.35">
      <c r="G667" s="118"/>
    </row>
    <row r="668" spans="7:7" ht="14.5" thickBot="1" x14ac:dyDescent="0.35">
      <c r="G668" s="118"/>
    </row>
    <row r="669" spans="7:7" ht="14.5" thickBot="1" x14ac:dyDescent="0.35">
      <c r="G669" s="118"/>
    </row>
    <row r="670" spans="7:7" ht="14.5" thickBot="1" x14ac:dyDescent="0.35">
      <c r="G670" s="118"/>
    </row>
    <row r="671" spans="7:7" ht="14.5" thickBot="1" x14ac:dyDescent="0.35">
      <c r="G671" s="118"/>
    </row>
    <row r="672" spans="7:7" ht="14.5" thickBot="1" x14ac:dyDescent="0.35">
      <c r="G672" s="118"/>
    </row>
    <row r="673" spans="7:7" ht="14.5" thickBot="1" x14ac:dyDescent="0.35">
      <c r="G673" s="118"/>
    </row>
    <row r="674" spans="7:7" ht="14.5" thickBot="1" x14ac:dyDescent="0.35">
      <c r="G674" s="118"/>
    </row>
    <row r="675" spans="7:7" ht="14.5" thickBot="1" x14ac:dyDescent="0.35">
      <c r="G675" s="118"/>
    </row>
    <row r="676" spans="7:7" ht="14.5" thickBot="1" x14ac:dyDescent="0.35">
      <c r="G676" s="118"/>
    </row>
    <row r="677" spans="7:7" ht="14.5" thickBot="1" x14ac:dyDescent="0.35">
      <c r="G677" s="118"/>
    </row>
    <row r="678" spans="7:7" ht="14.5" thickBot="1" x14ac:dyDescent="0.35">
      <c r="G678" s="118"/>
    </row>
    <row r="679" spans="7:7" ht="14.5" thickBot="1" x14ac:dyDescent="0.35">
      <c r="G679" s="118"/>
    </row>
    <row r="680" spans="7:7" ht="14.5" thickBot="1" x14ac:dyDescent="0.35">
      <c r="G680" s="118"/>
    </row>
    <row r="681" spans="7:7" ht="14.5" thickBot="1" x14ac:dyDescent="0.35">
      <c r="G681" s="118"/>
    </row>
    <row r="682" spans="7:7" ht="14.5" thickBot="1" x14ac:dyDescent="0.35">
      <c r="G682" s="118"/>
    </row>
    <row r="683" spans="7:7" ht="14.5" thickBot="1" x14ac:dyDescent="0.35">
      <c r="G683" s="118"/>
    </row>
    <row r="684" spans="7:7" ht="14.5" thickBot="1" x14ac:dyDescent="0.35">
      <c r="G684" s="118"/>
    </row>
    <row r="685" spans="7:7" ht="14.5" thickBot="1" x14ac:dyDescent="0.35">
      <c r="G685" s="118"/>
    </row>
    <row r="686" spans="7:7" ht="14.5" thickBot="1" x14ac:dyDescent="0.35">
      <c r="G686" s="118"/>
    </row>
    <row r="687" spans="7:7" ht="14.5" thickBot="1" x14ac:dyDescent="0.35">
      <c r="G687" s="118"/>
    </row>
    <row r="688" spans="7:7" ht="14.5" thickBot="1" x14ac:dyDescent="0.35">
      <c r="G688" s="118"/>
    </row>
    <row r="689" spans="7:7" ht="14.5" thickBot="1" x14ac:dyDescent="0.35">
      <c r="G689" s="118"/>
    </row>
    <row r="690" spans="7:7" ht="14.5" thickBot="1" x14ac:dyDescent="0.35">
      <c r="G690" s="118"/>
    </row>
    <row r="691" spans="7:7" ht="14.5" thickBot="1" x14ac:dyDescent="0.35">
      <c r="G691" s="118"/>
    </row>
    <row r="692" spans="7:7" ht="14.5" thickBot="1" x14ac:dyDescent="0.35">
      <c r="G692" s="118"/>
    </row>
    <row r="693" spans="7:7" ht="14.5" thickBot="1" x14ac:dyDescent="0.35">
      <c r="G693" s="118"/>
    </row>
    <row r="694" spans="7:7" ht="14.5" thickBot="1" x14ac:dyDescent="0.35">
      <c r="G694" s="118"/>
    </row>
    <row r="695" spans="7:7" ht="14.5" thickBot="1" x14ac:dyDescent="0.35">
      <c r="G695" s="118"/>
    </row>
    <row r="696" spans="7:7" ht="14.5" thickBot="1" x14ac:dyDescent="0.35">
      <c r="G696" s="118"/>
    </row>
    <row r="697" spans="7:7" ht="14.5" thickBot="1" x14ac:dyDescent="0.35">
      <c r="G697" s="118"/>
    </row>
    <row r="698" spans="7:7" ht="14.5" thickBot="1" x14ac:dyDescent="0.35">
      <c r="G698" s="118"/>
    </row>
    <row r="699" spans="7:7" ht="14.5" thickBot="1" x14ac:dyDescent="0.35">
      <c r="G699" s="118"/>
    </row>
    <row r="700" spans="7:7" ht="14.5" thickBot="1" x14ac:dyDescent="0.35">
      <c r="G700" s="118"/>
    </row>
    <row r="701" spans="7:7" ht="14.5" thickBot="1" x14ac:dyDescent="0.35">
      <c r="G701" s="118"/>
    </row>
    <row r="702" spans="7:7" ht="14.5" thickBot="1" x14ac:dyDescent="0.35">
      <c r="G702" s="118"/>
    </row>
    <row r="703" spans="7:7" ht="14.5" thickBot="1" x14ac:dyDescent="0.35">
      <c r="G703" s="118"/>
    </row>
    <row r="704" spans="7:7" ht="14.5" thickBot="1" x14ac:dyDescent="0.35">
      <c r="G704" s="118"/>
    </row>
    <row r="705" spans="7:7" ht="14.5" thickBot="1" x14ac:dyDescent="0.35">
      <c r="G705" s="118"/>
    </row>
    <row r="706" spans="7:7" ht="14.5" thickBot="1" x14ac:dyDescent="0.35">
      <c r="G706" s="118"/>
    </row>
    <row r="707" spans="7:7" ht="14.5" thickBot="1" x14ac:dyDescent="0.35">
      <c r="G707" s="118"/>
    </row>
    <row r="708" spans="7:7" ht="14.5" thickBot="1" x14ac:dyDescent="0.35">
      <c r="G708" s="118"/>
    </row>
    <row r="709" spans="7:7" ht="14.5" thickBot="1" x14ac:dyDescent="0.35">
      <c r="G709" s="118"/>
    </row>
    <row r="710" spans="7:7" ht="14.5" thickBot="1" x14ac:dyDescent="0.35">
      <c r="G710" s="118"/>
    </row>
    <row r="711" spans="7:7" ht="14.5" thickBot="1" x14ac:dyDescent="0.35">
      <c r="G711" s="118"/>
    </row>
    <row r="712" spans="7:7" ht="14.5" thickBot="1" x14ac:dyDescent="0.35">
      <c r="G712" s="118"/>
    </row>
    <row r="713" spans="7:7" ht="14.5" thickBot="1" x14ac:dyDescent="0.35">
      <c r="G713" s="118"/>
    </row>
    <row r="714" spans="7:7" ht="14.5" thickBot="1" x14ac:dyDescent="0.35">
      <c r="G714" s="118"/>
    </row>
    <row r="715" spans="7:7" x14ac:dyDescent="0.3">
      <c r="G715" s="118"/>
    </row>
  </sheetData>
  <autoFilter ref="D2:P63" xr:uid="{00000000-0009-0000-0000-000000000000}">
    <filterColumn colId="5" showButton="0"/>
  </autoFilter>
  <sortState xmlns:xlrd2="http://schemas.microsoft.com/office/spreadsheetml/2017/richdata2" ref="A3:W52">
    <sortCondition ref="A3:A52"/>
  </sortState>
  <conditionalFormatting sqref="G3:G715">
    <cfRule type="notContainsText" dxfId="1" priority="1" operator="notContains" text="A">
      <formula>ISERROR(SEARCH("A",G3))</formula>
    </cfRule>
  </conditionalFormatting>
  <conditionalFormatting sqref="W41">
    <cfRule type="colorScale" priority="2">
      <colorScale>
        <cfvo type="min"/>
        <cfvo type="percentile" val="50"/>
        <cfvo type="max"/>
        <color rgb="FFF8696B"/>
        <color rgb="FFFFEB84"/>
        <color rgb="FF63BE7B"/>
      </colorScale>
    </cfRule>
  </conditionalFormatting>
  <pageMargins left="0.70866141732283472" right="0.70866141732283472" top="0.78740157480314965" bottom="0.78740157480314965" header="0.31496062992125984" footer="0.31496062992125984"/>
  <pageSetup paperSize="9" scale="43"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47B2E-BBB5-6541-8104-22EB32354914}">
  <sheetPr>
    <pageSetUpPr fitToPage="1"/>
  </sheetPr>
  <dimension ref="A1:L320"/>
  <sheetViews>
    <sheetView zoomScale="75" zoomScaleNormal="75" zoomScaleSheetLayoutView="76" workbookViewId="0">
      <pane xSplit="1" ySplit="1" topLeftCell="B218" activePane="bottomRight" state="frozen"/>
      <selection pane="topRight" activeCell="B1" sqref="B1"/>
      <selection pane="bottomLeft" activeCell="A5" sqref="A5"/>
      <selection pane="bottomRight" activeCell="A257" sqref="A257"/>
    </sheetView>
  </sheetViews>
  <sheetFormatPr defaultColWidth="36.453125" defaultRowHeight="14.5" x14ac:dyDescent="0.35"/>
  <cols>
    <col min="1" max="1" width="55.453125" style="86" customWidth="1"/>
    <col min="2" max="2" width="36.1796875" style="232" bestFit="1" customWidth="1"/>
    <col min="3" max="3" width="38.1796875" style="232" bestFit="1" customWidth="1"/>
    <col min="4" max="4" width="6.453125" style="393" customWidth="1"/>
    <col min="5" max="5" width="8" style="83" customWidth="1"/>
    <col min="6" max="6" width="12.453125" style="83" customWidth="1"/>
    <col min="7" max="7" width="16.1796875" style="83" bestFit="1" customWidth="1"/>
    <col min="8" max="8" width="25.81640625" style="83" bestFit="1" customWidth="1"/>
    <col min="9" max="9" width="34.453125" style="83" bestFit="1" customWidth="1"/>
    <col min="10" max="10" width="19.81640625" style="13" bestFit="1" customWidth="1"/>
    <col min="11" max="16384" width="36.453125" style="13"/>
  </cols>
  <sheetData>
    <row r="1" spans="1:9" ht="15" thickBot="1" x14ac:dyDescent="0.4">
      <c r="A1" s="108" t="s">
        <v>904</v>
      </c>
      <c r="B1" s="236" t="s">
        <v>1036</v>
      </c>
      <c r="C1" s="236" t="s">
        <v>980</v>
      </c>
      <c r="D1" s="405" t="s">
        <v>1232</v>
      </c>
      <c r="E1" s="108" t="s">
        <v>982</v>
      </c>
      <c r="F1" s="108" t="s">
        <v>983</v>
      </c>
      <c r="G1" s="108" t="s">
        <v>945</v>
      </c>
      <c r="H1" s="108" t="s">
        <v>984</v>
      </c>
      <c r="I1" s="221" t="s">
        <v>985</v>
      </c>
    </row>
    <row r="2" spans="1:9" x14ac:dyDescent="0.35">
      <c r="A2" s="87" t="s">
        <v>408</v>
      </c>
      <c r="B2" s="222" t="s">
        <v>1051</v>
      </c>
      <c r="C2" s="222" t="s">
        <v>182</v>
      </c>
      <c r="D2" s="396"/>
      <c r="E2" s="46">
        <v>55</v>
      </c>
      <c r="F2" s="46">
        <v>41</v>
      </c>
      <c r="G2" s="46">
        <v>33.700000000000003</v>
      </c>
      <c r="H2" s="46">
        <v>44</v>
      </c>
      <c r="I2" s="46" t="s">
        <v>617</v>
      </c>
    </row>
    <row r="3" spans="1:9" s="51" customFormat="1" ht="16" thickBot="1" x14ac:dyDescent="0.4">
      <c r="A3" s="89" t="s">
        <v>408</v>
      </c>
      <c r="B3" s="223" t="s">
        <v>148</v>
      </c>
      <c r="C3" s="233" t="s">
        <v>148</v>
      </c>
      <c r="D3" s="406">
        <v>1</v>
      </c>
      <c r="E3" s="93">
        <v>54</v>
      </c>
      <c r="F3" s="93">
        <v>24</v>
      </c>
      <c r="G3" s="93">
        <v>39.4</v>
      </c>
      <c r="H3" s="93">
        <v>50</v>
      </c>
      <c r="I3" s="93" t="s">
        <v>618</v>
      </c>
    </row>
    <row r="4" spans="1:9" x14ac:dyDescent="0.35">
      <c r="A4" s="87" t="s">
        <v>311</v>
      </c>
      <c r="B4" s="224" t="s">
        <v>1047</v>
      </c>
      <c r="C4" s="224" t="s">
        <v>581</v>
      </c>
      <c r="D4" s="394">
        <v>1</v>
      </c>
      <c r="E4" s="88">
        <v>8</v>
      </c>
      <c r="F4" s="88">
        <v>8</v>
      </c>
      <c r="G4" s="88">
        <v>11.9</v>
      </c>
      <c r="H4" s="88">
        <v>50</v>
      </c>
      <c r="I4" s="88" t="s">
        <v>593</v>
      </c>
    </row>
    <row r="5" spans="1:9" ht="15" thickBot="1" x14ac:dyDescent="0.4">
      <c r="A5" s="89" t="s">
        <v>311</v>
      </c>
      <c r="B5" s="225" t="s">
        <v>1066</v>
      </c>
      <c r="C5" s="225" t="s">
        <v>364</v>
      </c>
      <c r="D5" s="395"/>
      <c r="E5" s="80">
        <v>6</v>
      </c>
      <c r="F5" s="80">
        <v>6</v>
      </c>
      <c r="G5" s="80">
        <v>6.44</v>
      </c>
      <c r="H5" s="80">
        <v>50</v>
      </c>
      <c r="I5" s="80" t="s">
        <v>593</v>
      </c>
    </row>
    <row r="6" spans="1:9" x14ac:dyDescent="0.35">
      <c r="A6" s="87" t="s">
        <v>310</v>
      </c>
      <c r="B6" s="224" t="s">
        <v>1040</v>
      </c>
      <c r="C6" s="224" t="s">
        <v>371</v>
      </c>
      <c r="D6" s="394"/>
      <c r="E6" s="88">
        <v>19</v>
      </c>
      <c r="F6" s="88">
        <f>E6-12</f>
        <v>7</v>
      </c>
      <c r="G6" s="88" t="s">
        <v>12</v>
      </c>
      <c r="H6" s="88" t="s">
        <v>12</v>
      </c>
      <c r="I6" s="88" t="s">
        <v>589</v>
      </c>
    </row>
    <row r="7" spans="1:9" ht="15" thickBot="1" x14ac:dyDescent="0.4">
      <c r="A7" s="89" t="s">
        <v>310</v>
      </c>
      <c r="B7" s="225" t="s">
        <v>148</v>
      </c>
      <c r="C7" s="225" t="s">
        <v>148</v>
      </c>
      <c r="D7" s="395">
        <v>1</v>
      </c>
      <c r="E7" s="80">
        <v>18</v>
      </c>
      <c r="F7" s="80">
        <f>E7-4</f>
        <v>14</v>
      </c>
      <c r="G7" s="80" t="s">
        <v>12</v>
      </c>
      <c r="H7" s="80" t="s">
        <v>12</v>
      </c>
      <c r="I7" s="80" t="s">
        <v>590</v>
      </c>
    </row>
    <row r="8" spans="1:9" x14ac:dyDescent="0.35">
      <c r="A8" s="87" t="s">
        <v>357</v>
      </c>
      <c r="B8" s="222" t="s">
        <v>1056</v>
      </c>
      <c r="C8" s="222" t="s">
        <v>414</v>
      </c>
      <c r="D8" s="396"/>
      <c r="E8" s="94">
        <v>106</v>
      </c>
      <c r="F8" s="94">
        <v>77</v>
      </c>
      <c r="G8" s="94" t="s">
        <v>634</v>
      </c>
      <c r="H8" s="94">
        <v>42</v>
      </c>
      <c r="I8" s="46" t="s">
        <v>636</v>
      </c>
    </row>
    <row r="9" spans="1:9" x14ac:dyDescent="0.35">
      <c r="A9" s="95" t="s">
        <v>357</v>
      </c>
      <c r="B9" s="226" t="s">
        <v>1059</v>
      </c>
      <c r="C9" s="226" t="s">
        <v>415</v>
      </c>
      <c r="D9" s="397"/>
      <c r="E9" s="85">
        <v>319</v>
      </c>
      <c r="F9" s="84">
        <v>234</v>
      </c>
      <c r="G9" s="84" t="s">
        <v>633</v>
      </c>
      <c r="H9" s="84">
        <v>40</v>
      </c>
      <c r="I9" s="84" t="s">
        <v>635</v>
      </c>
    </row>
    <row r="10" spans="1:9" ht="15" thickBot="1" x14ac:dyDescent="0.4">
      <c r="A10" s="89" t="s">
        <v>357</v>
      </c>
      <c r="B10" s="223" t="s">
        <v>148</v>
      </c>
      <c r="C10" s="223" t="s">
        <v>148</v>
      </c>
      <c r="D10" s="398">
        <v>1</v>
      </c>
      <c r="E10" s="96">
        <v>315</v>
      </c>
      <c r="F10" s="93">
        <v>185</v>
      </c>
      <c r="G10" s="93" t="s">
        <v>633</v>
      </c>
      <c r="H10" s="93">
        <v>39</v>
      </c>
      <c r="I10" s="93" t="s">
        <v>637</v>
      </c>
    </row>
    <row r="11" spans="1:9" ht="29" x14ac:dyDescent="0.35">
      <c r="A11" s="91" t="s">
        <v>362</v>
      </c>
      <c r="B11" s="226" t="s">
        <v>1059</v>
      </c>
      <c r="C11" s="226" t="s">
        <v>404</v>
      </c>
      <c r="D11" s="397"/>
      <c r="E11" s="84">
        <v>97</v>
      </c>
      <c r="F11" s="84">
        <v>89</v>
      </c>
      <c r="G11" s="84">
        <v>39</v>
      </c>
      <c r="H11" s="84">
        <v>49</v>
      </c>
      <c r="I11" s="84" t="s">
        <v>680</v>
      </c>
    </row>
    <row r="12" spans="1:9" ht="15" thickBot="1" x14ac:dyDescent="0.4">
      <c r="A12" s="79" t="s">
        <v>362</v>
      </c>
      <c r="B12" s="223" t="s">
        <v>148</v>
      </c>
      <c r="C12" s="223" t="s">
        <v>148</v>
      </c>
      <c r="D12" s="398">
        <v>1</v>
      </c>
      <c r="E12" s="93">
        <v>97</v>
      </c>
      <c r="F12" s="93">
        <v>92</v>
      </c>
      <c r="G12" s="93">
        <v>40</v>
      </c>
      <c r="H12" s="93">
        <v>53</v>
      </c>
      <c r="I12" s="93" t="s">
        <v>681</v>
      </c>
    </row>
    <row r="13" spans="1:9" x14ac:dyDescent="0.35">
      <c r="A13" s="100" t="s">
        <v>781</v>
      </c>
      <c r="B13" s="224" t="s">
        <v>1086</v>
      </c>
      <c r="C13" s="224" t="s">
        <v>757</v>
      </c>
      <c r="D13" s="394"/>
      <c r="E13" s="88">
        <v>30</v>
      </c>
      <c r="F13" s="88">
        <v>29</v>
      </c>
      <c r="G13" s="88">
        <v>10.199999999999999</v>
      </c>
      <c r="H13" s="88">
        <v>57</v>
      </c>
      <c r="I13" s="88" t="s">
        <v>761</v>
      </c>
    </row>
    <row r="14" spans="1:9" ht="15" thickBot="1" x14ac:dyDescent="0.4">
      <c r="A14" s="101" t="s">
        <v>781</v>
      </c>
      <c r="B14" s="225" t="s">
        <v>148</v>
      </c>
      <c r="C14" s="225" t="s">
        <v>148</v>
      </c>
      <c r="D14" s="395">
        <v>1</v>
      </c>
      <c r="E14" s="80">
        <v>32</v>
      </c>
      <c r="F14" s="80">
        <v>27</v>
      </c>
      <c r="G14" s="80">
        <v>10.4</v>
      </c>
      <c r="H14" s="80">
        <v>41</v>
      </c>
      <c r="I14" s="80" t="s">
        <v>763</v>
      </c>
    </row>
    <row r="15" spans="1:9" ht="43.5" x14ac:dyDescent="0.35">
      <c r="A15" s="90" t="s">
        <v>173</v>
      </c>
      <c r="B15" s="224" t="s">
        <v>1046</v>
      </c>
      <c r="C15" s="224" t="s">
        <v>439</v>
      </c>
      <c r="D15" s="394"/>
      <c r="E15" s="88">
        <v>53</v>
      </c>
      <c r="F15" s="88">
        <v>50</v>
      </c>
      <c r="G15" s="88" t="s">
        <v>594</v>
      </c>
      <c r="H15" s="88" t="s">
        <v>595</v>
      </c>
      <c r="I15" s="88" t="s">
        <v>597</v>
      </c>
    </row>
    <row r="16" spans="1:9" ht="44" thickBot="1" x14ac:dyDescent="0.4">
      <c r="A16" s="79" t="s">
        <v>173</v>
      </c>
      <c r="B16" s="225" t="s">
        <v>1045</v>
      </c>
      <c r="C16" s="225" t="s">
        <v>582</v>
      </c>
      <c r="D16" s="395">
        <v>1</v>
      </c>
      <c r="E16" s="80">
        <v>53</v>
      </c>
      <c r="F16" s="80">
        <v>53</v>
      </c>
      <c r="G16" s="80" t="s">
        <v>594</v>
      </c>
      <c r="H16" s="80" t="s">
        <v>595</v>
      </c>
      <c r="I16" s="80" t="s">
        <v>596</v>
      </c>
    </row>
    <row r="17" spans="1:9" ht="29" x14ac:dyDescent="0.35">
      <c r="A17" s="90" t="s">
        <v>410</v>
      </c>
      <c r="B17" s="222" t="s">
        <v>1056</v>
      </c>
      <c r="C17" s="222" t="s">
        <v>406</v>
      </c>
      <c r="D17" s="396"/>
      <c r="E17" s="46">
        <v>107</v>
      </c>
      <c r="F17" s="46">
        <v>107</v>
      </c>
      <c r="G17" s="46" t="s">
        <v>642</v>
      </c>
      <c r="H17" s="46">
        <v>39.299999999999997</v>
      </c>
      <c r="I17" s="46" t="s">
        <v>640</v>
      </c>
    </row>
    <row r="18" spans="1:9" x14ac:dyDescent="0.35">
      <c r="A18" s="91" t="s">
        <v>410</v>
      </c>
      <c r="B18" s="226" t="s">
        <v>1059</v>
      </c>
      <c r="C18" s="226" t="s">
        <v>405</v>
      </c>
      <c r="D18" s="397"/>
      <c r="E18" s="84">
        <v>110</v>
      </c>
      <c r="F18" s="84">
        <v>108</v>
      </c>
      <c r="G18" s="84" t="s">
        <v>642</v>
      </c>
      <c r="H18" s="84">
        <v>40</v>
      </c>
      <c r="I18" s="84" t="s">
        <v>638</v>
      </c>
    </row>
    <row r="19" spans="1:9" ht="15" thickBot="1" x14ac:dyDescent="0.4">
      <c r="A19" s="79" t="s">
        <v>410</v>
      </c>
      <c r="B19" s="223" t="s">
        <v>148</v>
      </c>
      <c r="C19" s="223" t="s">
        <v>148</v>
      </c>
      <c r="D19" s="398">
        <v>1</v>
      </c>
      <c r="E19" s="93">
        <v>108</v>
      </c>
      <c r="F19" s="93">
        <v>103</v>
      </c>
      <c r="G19" s="93" t="s">
        <v>641</v>
      </c>
      <c r="H19" s="93">
        <v>37</v>
      </c>
      <c r="I19" s="93" t="s">
        <v>639</v>
      </c>
    </row>
    <row r="20" spans="1:9" x14ac:dyDescent="0.35">
      <c r="A20" s="90" t="s">
        <v>178</v>
      </c>
      <c r="B20" s="224" t="s">
        <v>1049</v>
      </c>
      <c r="C20" s="224" t="s">
        <v>1648</v>
      </c>
      <c r="D20" s="394"/>
      <c r="E20" s="88">
        <v>20</v>
      </c>
      <c r="F20" s="88">
        <v>20</v>
      </c>
      <c r="G20" s="88">
        <v>10.3</v>
      </c>
      <c r="H20" s="88">
        <v>30</v>
      </c>
      <c r="I20" s="88" t="s">
        <v>616</v>
      </c>
    </row>
    <row r="21" spans="1:9" ht="29.5" thickBot="1" x14ac:dyDescent="0.4">
      <c r="A21" s="79" t="s">
        <v>178</v>
      </c>
      <c r="B21" s="225" t="s">
        <v>1076</v>
      </c>
      <c r="C21" s="225" t="s">
        <v>399</v>
      </c>
      <c r="D21" s="395">
        <v>1</v>
      </c>
      <c r="E21" s="80">
        <v>20</v>
      </c>
      <c r="F21" s="80">
        <v>20</v>
      </c>
      <c r="G21" s="80">
        <v>11.2</v>
      </c>
      <c r="H21" s="80">
        <v>40</v>
      </c>
      <c r="I21" s="80" t="s">
        <v>615</v>
      </c>
    </row>
    <row r="22" spans="1:9" ht="29" x14ac:dyDescent="0.35">
      <c r="A22" s="90" t="s">
        <v>697</v>
      </c>
      <c r="B22" s="222" t="s">
        <v>1087</v>
      </c>
      <c r="C22" s="222" t="s">
        <v>705</v>
      </c>
      <c r="D22" s="396"/>
      <c r="E22" s="46">
        <v>49</v>
      </c>
      <c r="F22" s="46">
        <v>27</v>
      </c>
      <c r="G22" s="46">
        <v>44.3</v>
      </c>
      <c r="H22" s="46">
        <v>57.1</v>
      </c>
      <c r="I22" s="46" t="s">
        <v>701</v>
      </c>
    </row>
    <row r="23" spans="1:9" ht="29" x14ac:dyDescent="0.35">
      <c r="A23" s="91" t="s">
        <v>697</v>
      </c>
      <c r="B23" s="226" t="s">
        <v>1088</v>
      </c>
      <c r="C23" s="226" t="s">
        <v>707</v>
      </c>
      <c r="D23" s="397"/>
      <c r="E23" s="84">
        <v>56</v>
      </c>
      <c r="F23" s="84">
        <v>37</v>
      </c>
      <c r="G23" s="84">
        <v>41.1</v>
      </c>
      <c r="H23" s="84">
        <v>44.6</v>
      </c>
      <c r="I23" s="84" t="s">
        <v>703</v>
      </c>
    </row>
    <row r="24" spans="1:9" ht="29" x14ac:dyDescent="0.35">
      <c r="A24" s="91" t="s">
        <v>697</v>
      </c>
      <c r="B24" s="226" t="s">
        <v>1089</v>
      </c>
      <c r="C24" s="226" t="s">
        <v>708</v>
      </c>
      <c r="D24" s="397"/>
      <c r="E24" s="84">
        <v>55</v>
      </c>
      <c r="F24" s="84">
        <v>38</v>
      </c>
      <c r="G24" s="84">
        <v>38.700000000000003</v>
      </c>
      <c r="H24" s="84">
        <v>49.1</v>
      </c>
      <c r="I24" s="84" t="s">
        <v>657</v>
      </c>
    </row>
    <row r="25" spans="1:9" ht="29" x14ac:dyDescent="0.35">
      <c r="A25" s="91" t="s">
        <v>697</v>
      </c>
      <c r="B25" s="226" t="s">
        <v>1090</v>
      </c>
      <c r="C25" s="226" t="s">
        <v>706</v>
      </c>
      <c r="D25" s="397"/>
      <c r="E25" s="84">
        <v>51</v>
      </c>
      <c r="F25" s="84">
        <v>27</v>
      </c>
      <c r="G25" s="84">
        <v>37.6</v>
      </c>
      <c r="H25" s="84">
        <v>56.9</v>
      </c>
      <c r="I25" s="84" t="s">
        <v>702</v>
      </c>
    </row>
    <row r="26" spans="1:9" ht="29.5" thickBot="1" x14ac:dyDescent="0.4">
      <c r="A26" s="79" t="s">
        <v>697</v>
      </c>
      <c r="B26" s="223" t="s">
        <v>148</v>
      </c>
      <c r="C26" s="223" t="s">
        <v>148</v>
      </c>
      <c r="D26" s="398">
        <v>1</v>
      </c>
      <c r="E26" s="93">
        <v>56</v>
      </c>
      <c r="F26" s="93">
        <v>28</v>
      </c>
      <c r="G26" s="93">
        <v>42.6</v>
      </c>
      <c r="H26" s="93">
        <v>62.5</v>
      </c>
      <c r="I26" s="93" t="s">
        <v>704</v>
      </c>
    </row>
    <row r="27" spans="1:9" ht="43.5" x14ac:dyDescent="0.35">
      <c r="A27" s="87" t="s">
        <v>740</v>
      </c>
      <c r="B27" s="222" t="s">
        <v>1049</v>
      </c>
      <c r="C27" s="222" t="s">
        <v>401</v>
      </c>
      <c r="D27" s="396">
        <v>1</v>
      </c>
      <c r="E27" s="94">
        <v>47</v>
      </c>
      <c r="F27" s="94">
        <v>33</v>
      </c>
      <c r="G27" s="94">
        <v>33</v>
      </c>
      <c r="H27" s="94">
        <v>34</v>
      </c>
      <c r="I27" s="94" t="s">
        <v>649</v>
      </c>
    </row>
    <row r="28" spans="1:9" ht="44" thickBot="1" x14ac:dyDescent="0.4">
      <c r="A28" s="89" t="s">
        <v>740</v>
      </c>
      <c r="B28" s="223" t="s">
        <v>1075</v>
      </c>
      <c r="C28" s="223" t="s">
        <v>400</v>
      </c>
      <c r="D28" s="398"/>
      <c r="E28" s="96">
        <v>50</v>
      </c>
      <c r="F28" s="96">
        <v>23</v>
      </c>
      <c r="G28" s="96">
        <v>32</v>
      </c>
      <c r="H28" s="96">
        <v>43</v>
      </c>
      <c r="I28" s="93" t="s">
        <v>648</v>
      </c>
    </row>
    <row r="29" spans="1:9" x14ac:dyDescent="0.35">
      <c r="A29" s="90" t="s">
        <v>174</v>
      </c>
      <c r="B29" s="224" t="s">
        <v>1047</v>
      </c>
      <c r="C29" s="224" t="s">
        <v>581</v>
      </c>
      <c r="D29" s="394"/>
      <c r="E29" s="88">
        <v>36</v>
      </c>
      <c r="F29" s="88">
        <v>32</v>
      </c>
      <c r="G29" s="88">
        <v>33.299999999999997</v>
      </c>
      <c r="H29" s="88">
        <v>42</v>
      </c>
      <c r="I29" s="88" t="s">
        <v>598</v>
      </c>
    </row>
    <row r="30" spans="1:9" ht="44" thickBot="1" x14ac:dyDescent="0.4">
      <c r="A30" s="79" t="s">
        <v>174</v>
      </c>
      <c r="B30" s="225" t="s">
        <v>1104</v>
      </c>
      <c r="C30" s="225" t="s">
        <v>366</v>
      </c>
      <c r="D30" s="395">
        <v>1</v>
      </c>
      <c r="E30" s="80">
        <v>36</v>
      </c>
      <c r="F30" s="80">
        <v>16</v>
      </c>
      <c r="G30" s="80">
        <v>33.200000000000003</v>
      </c>
      <c r="H30" s="80">
        <v>58</v>
      </c>
      <c r="I30" s="80" t="s">
        <v>599</v>
      </c>
    </row>
    <row r="31" spans="1:9" x14ac:dyDescent="0.35">
      <c r="A31" s="90" t="s">
        <v>901</v>
      </c>
      <c r="B31" s="227" t="s">
        <v>1043</v>
      </c>
      <c r="C31" s="227" t="s">
        <v>377</v>
      </c>
      <c r="D31" s="402"/>
      <c r="E31" s="94">
        <v>37</v>
      </c>
      <c r="F31" s="94">
        <v>25</v>
      </c>
      <c r="G31" s="94" t="s">
        <v>647</v>
      </c>
      <c r="H31" s="94">
        <v>41</v>
      </c>
      <c r="I31" s="94" t="s">
        <v>643</v>
      </c>
    </row>
    <row r="32" spans="1:9" x14ac:dyDescent="0.35">
      <c r="A32" s="91" t="s">
        <v>901</v>
      </c>
      <c r="B32" s="228" t="s">
        <v>1044</v>
      </c>
      <c r="C32" s="228" t="s">
        <v>378</v>
      </c>
      <c r="D32" s="404"/>
      <c r="E32" s="85">
        <v>38</v>
      </c>
      <c r="F32" s="85">
        <v>26</v>
      </c>
      <c r="G32" s="85" t="s">
        <v>646</v>
      </c>
      <c r="H32" s="85">
        <v>42</v>
      </c>
      <c r="I32" s="84" t="s">
        <v>644</v>
      </c>
    </row>
    <row r="33" spans="1:9" ht="15" thickBot="1" x14ac:dyDescent="0.4">
      <c r="A33" s="79" t="s">
        <v>901</v>
      </c>
      <c r="B33" s="229" t="s">
        <v>148</v>
      </c>
      <c r="C33" s="229" t="s">
        <v>148</v>
      </c>
      <c r="D33" s="403">
        <v>1</v>
      </c>
      <c r="E33" s="96">
        <v>49</v>
      </c>
      <c r="F33" s="96">
        <v>29</v>
      </c>
      <c r="G33" s="96" t="s">
        <v>645</v>
      </c>
      <c r="H33" s="96">
        <v>51</v>
      </c>
      <c r="I33" s="93" t="s">
        <v>643</v>
      </c>
    </row>
    <row r="34" spans="1:9" ht="29" x14ac:dyDescent="0.35">
      <c r="A34" s="90" t="s">
        <v>411</v>
      </c>
      <c r="B34" s="222" t="s">
        <v>1061</v>
      </c>
      <c r="C34" s="222" t="s">
        <v>389</v>
      </c>
      <c r="D34" s="396"/>
      <c r="E34" s="46">
        <v>40</v>
      </c>
      <c r="F34" s="46">
        <v>20</v>
      </c>
      <c r="G34" s="46">
        <v>40.5</v>
      </c>
      <c r="H34" s="46">
        <v>42.5</v>
      </c>
      <c r="I34" s="46" t="s">
        <v>671</v>
      </c>
    </row>
    <row r="35" spans="1:9" ht="15" thickBot="1" x14ac:dyDescent="0.4">
      <c r="A35" s="79" t="s">
        <v>411</v>
      </c>
      <c r="B35" s="229" t="s">
        <v>148</v>
      </c>
      <c r="C35" s="229" t="s">
        <v>148</v>
      </c>
      <c r="D35" s="403">
        <v>1</v>
      </c>
      <c r="E35" s="93">
        <v>20</v>
      </c>
      <c r="F35" s="93">
        <v>16</v>
      </c>
      <c r="G35" s="93">
        <v>41.3</v>
      </c>
      <c r="H35" s="93">
        <v>55</v>
      </c>
      <c r="I35" s="96" t="s">
        <v>672</v>
      </c>
    </row>
    <row r="36" spans="1:9" x14ac:dyDescent="0.35">
      <c r="A36" s="91" t="s">
        <v>354</v>
      </c>
      <c r="B36" s="226" t="s">
        <v>1055</v>
      </c>
      <c r="C36" s="226" t="s">
        <v>403</v>
      </c>
      <c r="D36" s="397"/>
      <c r="E36" s="84">
        <v>27</v>
      </c>
      <c r="F36" s="84">
        <v>26</v>
      </c>
      <c r="G36" s="84" t="s">
        <v>645</v>
      </c>
      <c r="H36" s="84">
        <v>40.700000000000003</v>
      </c>
      <c r="I36" s="84" t="s">
        <v>682</v>
      </c>
    </row>
    <row r="37" spans="1:9" ht="15" thickBot="1" x14ac:dyDescent="0.4">
      <c r="A37" s="79" t="s">
        <v>354</v>
      </c>
      <c r="B37" s="223" t="s">
        <v>148</v>
      </c>
      <c r="C37" s="223" t="s">
        <v>148</v>
      </c>
      <c r="D37" s="398">
        <v>1</v>
      </c>
      <c r="E37" s="93">
        <v>27</v>
      </c>
      <c r="F37" s="93">
        <v>25</v>
      </c>
      <c r="G37" s="93" t="s">
        <v>684</v>
      </c>
      <c r="H37" s="93">
        <v>48.1</v>
      </c>
      <c r="I37" s="93" t="s">
        <v>683</v>
      </c>
    </row>
    <row r="38" spans="1:9" x14ac:dyDescent="0.35">
      <c r="A38" s="90" t="s">
        <v>353</v>
      </c>
      <c r="B38" s="222" t="s">
        <v>1062</v>
      </c>
      <c r="C38" s="222" t="s">
        <v>329</v>
      </c>
      <c r="D38" s="396"/>
      <c r="E38" s="46">
        <v>46</v>
      </c>
      <c r="F38" s="46">
        <v>26</v>
      </c>
      <c r="G38" s="94">
        <v>36.200000000000003</v>
      </c>
      <c r="H38" s="94">
        <v>54.3</v>
      </c>
      <c r="I38" s="94" t="s">
        <v>685</v>
      </c>
    </row>
    <row r="39" spans="1:9" ht="15" thickBot="1" x14ac:dyDescent="0.4">
      <c r="A39" s="91" t="s">
        <v>353</v>
      </c>
      <c r="B39" s="226" t="s">
        <v>148</v>
      </c>
      <c r="C39" s="226" t="s">
        <v>148</v>
      </c>
      <c r="D39" s="397">
        <v>1</v>
      </c>
      <c r="E39" s="84">
        <v>16</v>
      </c>
      <c r="F39" s="84">
        <v>8</v>
      </c>
      <c r="G39" s="85">
        <v>40.4</v>
      </c>
      <c r="H39" s="85">
        <v>31.2</v>
      </c>
      <c r="I39" s="85" t="s">
        <v>686</v>
      </c>
    </row>
    <row r="40" spans="1:9" s="240" customFormat="1" x14ac:dyDescent="0.35">
      <c r="A40" s="90" t="s">
        <v>784</v>
      </c>
      <c r="B40" s="222" t="s">
        <v>148</v>
      </c>
      <c r="C40" s="222" t="s">
        <v>148</v>
      </c>
      <c r="D40" s="396">
        <v>1</v>
      </c>
      <c r="E40" s="46">
        <v>40</v>
      </c>
      <c r="F40" s="46">
        <v>20</v>
      </c>
      <c r="G40" s="46">
        <v>39.9</v>
      </c>
      <c r="H40" s="46">
        <v>41</v>
      </c>
      <c r="I40" s="46" t="s">
        <v>747</v>
      </c>
    </row>
    <row r="41" spans="1:9" x14ac:dyDescent="0.35">
      <c r="A41" s="91" t="s">
        <v>784</v>
      </c>
      <c r="B41" s="226" t="s">
        <v>1098</v>
      </c>
      <c r="C41" s="226" t="s">
        <v>391</v>
      </c>
      <c r="D41" s="397"/>
      <c r="E41" s="84">
        <v>42</v>
      </c>
      <c r="F41" s="84">
        <v>37</v>
      </c>
      <c r="G41" s="84">
        <v>38.5</v>
      </c>
      <c r="H41" s="84">
        <v>29</v>
      </c>
      <c r="I41" s="84" t="s">
        <v>746</v>
      </c>
    </row>
    <row r="42" spans="1:9" x14ac:dyDescent="0.35">
      <c r="A42" s="91" t="s">
        <v>784</v>
      </c>
      <c r="B42" s="226" t="s">
        <v>1099</v>
      </c>
      <c r="C42" s="226" t="s">
        <v>392</v>
      </c>
      <c r="D42" s="397"/>
      <c r="E42" s="84">
        <v>42</v>
      </c>
      <c r="F42" s="84">
        <v>38</v>
      </c>
      <c r="G42" s="84">
        <v>39.9</v>
      </c>
      <c r="H42" s="84">
        <v>48</v>
      </c>
      <c r="I42" s="84" t="s">
        <v>656</v>
      </c>
    </row>
    <row r="43" spans="1:9" s="241" customFormat="1" ht="15" thickBot="1" x14ac:dyDescent="0.4">
      <c r="A43" s="79" t="s">
        <v>784</v>
      </c>
      <c r="B43" s="223" t="s">
        <v>1100</v>
      </c>
      <c r="C43" s="223" t="s">
        <v>390</v>
      </c>
      <c r="D43" s="398"/>
      <c r="E43" s="93">
        <v>42</v>
      </c>
      <c r="F43" s="93">
        <v>31</v>
      </c>
      <c r="G43" s="93">
        <v>41.5</v>
      </c>
      <c r="H43" s="93">
        <v>33</v>
      </c>
      <c r="I43" s="93" t="s">
        <v>746</v>
      </c>
    </row>
    <row r="44" spans="1:9" ht="29" x14ac:dyDescent="0.35">
      <c r="A44" s="104" t="s">
        <v>808</v>
      </c>
      <c r="B44" s="230" t="s">
        <v>1071</v>
      </c>
      <c r="C44" s="230" t="s">
        <v>813</v>
      </c>
      <c r="D44" s="401"/>
      <c r="E44" s="83">
        <v>73</v>
      </c>
      <c r="F44" s="83">
        <v>58</v>
      </c>
      <c r="G44" s="83">
        <v>36.700000000000003</v>
      </c>
      <c r="H44" s="83">
        <v>63</v>
      </c>
      <c r="I44" s="83" t="s">
        <v>815</v>
      </c>
    </row>
    <row r="45" spans="1:9" ht="29" x14ac:dyDescent="0.35">
      <c r="A45" s="104" t="s">
        <v>808</v>
      </c>
      <c r="B45" s="230" t="s">
        <v>1072</v>
      </c>
      <c r="C45" s="230" t="s">
        <v>816</v>
      </c>
      <c r="D45" s="401"/>
      <c r="E45" s="82">
        <v>80</v>
      </c>
      <c r="F45" s="82">
        <v>62</v>
      </c>
      <c r="G45" s="82">
        <v>40.200000000000003</v>
      </c>
      <c r="H45" s="82">
        <v>58.8</v>
      </c>
      <c r="I45" s="82" t="s">
        <v>817</v>
      </c>
    </row>
    <row r="46" spans="1:9" ht="29" x14ac:dyDescent="0.35">
      <c r="A46" s="104" t="s">
        <v>808</v>
      </c>
      <c r="B46" s="230" t="s">
        <v>1073</v>
      </c>
      <c r="C46" s="230" t="s">
        <v>1654</v>
      </c>
      <c r="D46" s="401"/>
      <c r="E46" s="82">
        <v>75</v>
      </c>
      <c r="F46" s="82">
        <v>58</v>
      </c>
      <c r="G46" s="82">
        <v>38.9</v>
      </c>
      <c r="H46" s="82">
        <v>65.3</v>
      </c>
      <c r="I46" s="82" t="s">
        <v>818</v>
      </c>
    </row>
    <row r="47" spans="1:9" ht="15" thickBot="1" x14ac:dyDescent="0.4">
      <c r="A47" s="101" t="s">
        <v>808</v>
      </c>
      <c r="B47" s="231" t="s">
        <v>148</v>
      </c>
      <c r="C47" s="231" t="s">
        <v>148</v>
      </c>
      <c r="D47" s="400">
        <v>1</v>
      </c>
      <c r="E47" s="80">
        <v>52</v>
      </c>
      <c r="F47" s="80">
        <v>23</v>
      </c>
      <c r="G47" s="80">
        <v>42.2</v>
      </c>
      <c r="H47" s="80">
        <v>46.2</v>
      </c>
      <c r="I47" s="80" t="s">
        <v>819</v>
      </c>
    </row>
    <row r="48" spans="1:9" x14ac:dyDescent="0.35">
      <c r="A48" s="95" t="s">
        <v>314</v>
      </c>
      <c r="B48" s="230" t="s">
        <v>1065</v>
      </c>
      <c r="C48" s="230" t="s">
        <v>365</v>
      </c>
      <c r="D48" s="401"/>
      <c r="E48" s="82">
        <v>40</v>
      </c>
      <c r="F48" s="82">
        <v>38</v>
      </c>
      <c r="G48" s="82">
        <v>37.200000000000003</v>
      </c>
      <c r="H48" s="82">
        <v>35</v>
      </c>
      <c r="I48" s="82" t="s">
        <v>606</v>
      </c>
    </row>
    <row r="49" spans="1:9" ht="15" thickBot="1" x14ac:dyDescent="0.4">
      <c r="A49" s="89" t="s">
        <v>314</v>
      </c>
      <c r="B49" s="225" t="s">
        <v>148</v>
      </c>
      <c r="C49" s="225" t="s">
        <v>148</v>
      </c>
      <c r="D49" s="395">
        <v>1</v>
      </c>
      <c r="E49" s="80">
        <v>43</v>
      </c>
      <c r="F49" s="80">
        <v>40</v>
      </c>
      <c r="G49" s="80">
        <v>28.2</v>
      </c>
      <c r="H49" s="80">
        <v>47</v>
      </c>
      <c r="I49" s="80" t="s">
        <v>607</v>
      </c>
    </row>
    <row r="50" spans="1:9" x14ac:dyDescent="0.35">
      <c r="A50" s="90" t="s">
        <v>179</v>
      </c>
      <c r="B50" s="224" t="s">
        <v>1085</v>
      </c>
      <c r="C50" s="224" t="s">
        <v>1649</v>
      </c>
      <c r="D50" s="394"/>
      <c r="E50" s="88">
        <v>4</v>
      </c>
      <c r="F50" s="88">
        <v>4</v>
      </c>
      <c r="G50" s="88">
        <v>7.4</v>
      </c>
      <c r="H50" s="88" t="s">
        <v>12</v>
      </c>
      <c r="I50" s="88" t="s">
        <v>624</v>
      </c>
    </row>
    <row r="51" spans="1:9" ht="15" thickBot="1" x14ac:dyDescent="0.4">
      <c r="A51" s="79" t="s">
        <v>179</v>
      </c>
      <c r="B51" s="225" t="s">
        <v>148</v>
      </c>
      <c r="C51" s="225" t="s">
        <v>148</v>
      </c>
      <c r="D51" s="395">
        <v>1</v>
      </c>
      <c r="E51" s="80">
        <v>4</v>
      </c>
      <c r="F51" s="80">
        <v>4</v>
      </c>
      <c r="G51" s="80">
        <v>15.8</v>
      </c>
      <c r="H51" s="80" t="s">
        <v>12</v>
      </c>
      <c r="I51" s="80" t="s">
        <v>625</v>
      </c>
    </row>
    <row r="52" spans="1:9" x14ac:dyDescent="0.35">
      <c r="A52" s="90" t="s">
        <v>176</v>
      </c>
      <c r="B52" s="224" t="s">
        <v>1063</v>
      </c>
      <c r="C52" s="224" t="s">
        <v>374</v>
      </c>
      <c r="D52" s="394"/>
      <c r="E52" s="88">
        <v>20</v>
      </c>
      <c r="F52" s="88">
        <v>18</v>
      </c>
      <c r="G52" s="88">
        <v>21</v>
      </c>
      <c r="H52" s="88">
        <v>65</v>
      </c>
      <c r="I52" s="88" t="s">
        <v>609</v>
      </c>
    </row>
    <row r="53" spans="1:9" x14ac:dyDescent="0.35">
      <c r="A53" s="91" t="s">
        <v>176</v>
      </c>
      <c r="B53" s="230" t="s">
        <v>1064</v>
      </c>
      <c r="C53" s="230" t="s">
        <v>373</v>
      </c>
      <c r="D53" s="401"/>
      <c r="E53" s="82">
        <v>21</v>
      </c>
      <c r="F53" s="82">
        <v>20</v>
      </c>
      <c r="G53" s="82">
        <v>21</v>
      </c>
      <c r="H53" s="82">
        <v>70</v>
      </c>
      <c r="I53" s="82" t="s">
        <v>608</v>
      </c>
    </row>
    <row r="54" spans="1:9" s="241" customFormat="1" ht="15" thickBot="1" x14ac:dyDescent="0.4">
      <c r="A54" s="79" t="s">
        <v>176</v>
      </c>
      <c r="B54" s="225" t="s">
        <v>148</v>
      </c>
      <c r="C54" s="225" t="s">
        <v>148</v>
      </c>
      <c r="D54" s="395">
        <v>1</v>
      </c>
      <c r="E54" s="80">
        <v>10</v>
      </c>
      <c r="F54" s="80">
        <v>10</v>
      </c>
      <c r="G54" s="80">
        <v>23</v>
      </c>
      <c r="H54" s="80">
        <v>71.400000000000006</v>
      </c>
      <c r="I54" s="80" t="s">
        <v>610</v>
      </c>
    </row>
    <row r="55" spans="1:9" x14ac:dyDescent="0.35">
      <c r="A55" s="91" t="s">
        <v>177</v>
      </c>
      <c r="B55" s="230" t="s">
        <v>1067</v>
      </c>
      <c r="C55" s="230" t="s">
        <v>395</v>
      </c>
      <c r="D55" s="401"/>
      <c r="E55" s="82">
        <v>30</v>
      </c>
      <c r="F55" s="82">
        <v>25</v>
      </c>
      <c r="G55" s="82">
        <v>6.3</v>
      </c>
      <c r="H55" s="82">
        <v>40</v>
      </c>
      <c r="I55" s="82" t="s">
        <v>611</v>
      </c>
    </row>
    <row r="56" spans="1:9" ht="15" thickBot="1" x14ac:dyDescent="0.4">
      <c r="A56" s="79" t="s">
        <v>177</v>
      </c>
      <c r="B56" s="225" t="s">
        <v>148</v>
      </c>
      <c r="C56" s="225" t="s">
        <v>148</v>
      </c>
      <c r="D56" s="395">
        <v>1</v>
      </c>
      <c r="E56" s="80">
        <v>10</v>
      </c>
      <c r="F56" s="80">
        <v>10</v>
      </c>
      <c r="G56" s="80">
        <v>6.5</v>
      </c>
      <c r="H56" s="80">
        <v>60</v>
      </c>
      <c r="I56" s="92" t="s">
        <v>612</v>
      </c>
    </row>
    <row r="57" spans="1:9" x14ac:dyDescent="0.35">
      <c r="A57" s="100" t="s">
        <v>869</v>
      </c>
      <c r="B57" s="224" t="s">
        <v>1084</v>
      </c>
      <c r="C57" s="224" t="s">
        <v>874</v>
      </c>
      <c r="D57" s="394"/>
      <c r="E57" s="103">
        <v>143</v>
      </c>
      <c r="F57" s="103">
        <v>139</v>
      </c>
      <c r="G57" s="103" t="s">
        <v>628</v>
      </c>
      <c r="H57" s="103">
        <v>35</v>
      </c>
      <c r="I57" s="103" t="s">
        <v>881</v>
      </c>
    </row>
    <row r="58" spans="1:9" s="241" customFormat="1" ht="15" thickBot="1" x14ac:dyDescent="0.4">
      <c r="A58" s="101" t="s">
        <v>869</v>
      </c>
      <c r="B58" s="225" t="s">
        <v>148</v>
      </c>
      <c r="C58" s="225" t="s">
        <v>148</v>
      </c>
      <c r="D58" s="395">
        <v>1</v>
      </c>
      <c r="E58" s="92">
        <v>72</v>
      </c>
      <c r="F58" s="92">
        <v>67</v>
      </c>
      <c r="G58" s="92" t="s">
        <v>880</v>
      </c>
      <c r="H58" s="92">
        <v>33</v>
      </c>
      <c r="I58" s="92" t="s">
        <v>882</v>
      </c>
    </row>
    <row r="59" spans="1:9" x14ac:dyDescent="0.35">
      <c r="A59" s="95" t="s">
        <v>349</v>
      </c>
      <c r="B59" s="226" t="s">
        <v>148</v>
      </c>
      <c r="C59" s="226" t="s">
        <v>148</v>
      </c>
      <c r="D59" s="397">
        <v>1</v>
      </c>
      <c r="E59" s="84">
        <v>17</v>
      </c>
      <c r="F59" s="84">
        <v>15</v>
      </c>
      <c r="G59" s="84">
        <v>40</v>
      </c>
      <c r="H59" s="84">
        <v>37.5</v>
      </c>
      <c r="I59" s="84" t="s">
        <v>679</v>
      </c>
    </row>
    <row r="60" spans="1:9" s="241" customFormat="1" ht="29.5" thickBot="1" x14ac:dyDescent="0.4">
      <c r="A60" s="89" t="s">
        <v>349</v>
      </c>
      <c r="B60" s="223" t="s">
        <v>1102</v>
      </c>
      <c r="C60" s="223" t="s">
        <v>402</v>
      </c>
      <c r="D60" s="398"/>
      <c r="E60" s="93">
        <v>16</v>
      </c>
      <c r="F60" s="93">
        <v>12</v>
      </c>
      <c r="G60" s="93">
        <v>37</v>
      </c>
      <c r="H60" s="93">
        <v>37.5</v>
      </c>
      <c r="I60" s="93" t="s">
        <v>678</v>
      </c>
    </row>
    <row r="61" spans="1:9" ht="43.5" x14ac:dyDescent="0.35">
      <c r="A61" s="95" t="s">
        <v>585</v>
      </c>
      <c r="B61" s="230" t="s">
        <v>1041</v>
      </c>
      <c r="C61" s="230" t="s">
        <v>363</v>
      </c>
      <c r="D61" s="401"/>
      <c r="E61" s="82">
        <v>41</v>
      </c>
      <c r="F61" s="82">
        <v>35</v>
      </c>
      <c r="G61" s="82">
        <v>30</v>
      </c>
      <c r="H61" s="82">
        <v>54</v>
      </c>
      <c r="I61" s="82" t="s">
        <v>591</v>
      </c>
    </row>
    <row r="62" spans="1:9" s="241" customFormat="1" ht="15" thickBot="1" x14ac:dyDescent="0.4">
      <c r="A62" s="89" t="s">
        <v>585</v>
      </c>
      <c r="B62" s="225" t="s">
        <v>148</v>
      </c>
      <c r="C62" s="225" t="s">
        <v>148</v>
      </c>
      <c r="D62" s="395">
        <v>1</v>
      </c>
      <c r="E62" s="80">
        <v>20</v>
      </c>
      <c r="F62" s="80">
        <v>19</v>
      </c>
      <c r="G62" s="80">
        <v>36</v>
      </c>
      <c r="H62" s="80">
        <v>20</v>
      </c>
      <c r="I62" s="80" t="s">
        <v>592</v>
      </c>
    </row>
    <row r="63" spans="1:9" ht="29" x14ac:dyDescent="0.35">
      <c r="A63" s="95" t="s">
        <v>312</v>
      </c>
      <c r="B63" s="230" t="s">
        <v>1048</v>
      </c>
      <c r="C63" s="230" t="s">
        <v>413</v>
      </c>
      <c r="D63" s="401"/>
      <c r="E63" s="82">
        <v>12</v>
      </c>
      <c r="F63" s="82">
        <v>9</v>
      </c>
      <c r="G63" s="82" t="s">
        <v>600</v>
      </c>
      <c r="H63" s="82" t="s">
        <v>601</v>
      </c>
      <c r="I63" s="82" t="s">
        <v>12</v>
      </c>
    </row>
    <row r="64" spans="1:9" s="241" customFormat="1" ht="29.5" thickBot="1" x14ac:dyDescent="0.4">
      <c r="A64" s="89" t="s">
        <v>312</v>
      </c>
      <c r="B64" s="225" t="s">
        <v>148</v>
      </c>
      <c r="C64" s="225" t="s">
        <v>148</v>
      </c>
      <c r="D64" s="395">
        <v>1</v>
      </c>
      <c r="E64" s="80">
        <v>12</v>
      </c>
      <c r="F64" s="80">
        <v>10</v>
      </c>
      <c r="G64" s="80" t="s">
        <v>600</v>
      </c>
      <c r="H64" s="80" t="s">
        <v>601</v>
      </c>
      <c r="I64" s="80" t="s">
        <v>12</v>
      </c>
    </row>
    <row r="65" spans="1:9" x14ac:dyDescent="0.35">
      <c r="A65" s="91" t="s">
        <v>442</v>
      </c>
      <c r="B65" s="226" t="s">
        <v>148</v>
      </c>
      <c r="C65" s="226" t="s">
        <v>148</v>
      </c>
      <c r="D65" s="397">
        <v>1</v>
      </c>
      <c r="E65" s="84">
        <v>27</v>
      </c>
      <c r="F65" s="84">
        <v>18</v>
      </c>
      <c r="G65" s="84">
        <v>38.799999999999997</v>
      </c>
      <c r="H65" s="84">
        <v>44.4</v>
      </c>
      <c r="I65" s="84" t="s">
        <v>12</v>
      </c>
    </row>
    <row r="66" spans="1:9" ht="15" thickBot="1" x14ac:dyDescent="0.4">
      <c r="A66" s="79" t="s">
        <v>442</v>
      </c>
      <c r="B66" s="229" t="s">
        <v>1091</v>
      </c>
      <c r="C66" s="229" t="s">
        <v>393</v>
      </c>
      <c r="D66" s="403"/>
      <c r="E66" s="93">
        <v>76</v>
      </c>
      <c r="F66" s="93">
        <v>63</v>
      </c>
      <c r="G66" s="93">
        <v>35.5</v>
      </c>
      <c r="H66" s="93">
        <v>35.5</v>
      </c>
      <c r="I66" s="93" t="s">
        <v>12</v>
      </c>
    </row>
    <row r="67" spans="1:9" x14ac:dyDescent="0.35">
      <c r="A67" s="90" t="s">
        <v>313</v>
      </c>
      <c r="B67" s="224" t="s">
        <v>1050</v>
      </c>
      <c r="C67" s="224" t="s">
        <v>583</v>
      </c>
      <c r="D67" s="394"/>
      <c r="E67" s="88">
        <v>15</v>
      </c>
      <c r="F67" s="88">
        <v>15</v>
      </c>
      <c r="G67" s="88">
        <v>26.6</v>
      </c>
      <c r="H67" s="88">
        <v>73.3</v>
      </c>
      <c r="I67" s="88" t="s">
        <v>602</v>
      </c>
    </row>
    <row r="68" spans="1:9" ht="15" thickBot="1" x14ac:dyDescent="0.4">
      <c r="A68" s="79" t="s">
        <v>313</v>
      </c>
      <c r="B68" s="225" t="s">
        <v>1092</v>
      </c>
      <c r="C68" s="225" t="s">
        <v>367</v>
      </c>
      <c r="D68" s="395">
        <v>1</v>
      </c>
      <c r="E68" s="80">
        <v>15</v>
      </c>
      <c r="F68" s="80">
        <v>15</v>
      </c>
      <c r="G68" s="80">
        <v>27.1</v>
      </c>
      <c r="H68" s="80">
        <v>66.7</v>
      </c>
      <c r="I68" s="80" t="s">
        <v>603</v>
      </c>
    </row>
    <row r="69" spans="1:9" x14ac:dyDescent="0.35">
      <c r="A69" s="100" t="s">
        <v>820</v>
      </c>
      <c r="B69" s="224" t="s">
        <v>1057</v>
      </c>
      <c r="C69" s="224" t="s">
        <v>689</v>
      </c>
      <c r="D69" s="394"/>
      <c r="E69" s="88">
        <v>120</v>
      </c>
      <c r="F69" s="88">
        <v>119</v>
      </c>
      <c r="G69" s="88">
        <v>8.5</v>
      </c>
      <c r="H69" s="88">
        <v>53.3</v>
      </c>
      <c r="I69" s="88" t="s">
        <v>674</v>
      </c>
    </row>
    <row r="70" spans="1:9" ht="43.5" x14ac:dyDescent="0.35">
      <c r="A70" s="104" t="s">
        <v>820</v>
      </c>
      <c r="B70" s="230" t="s">
        <v>1054</v>
      </c>
      <c r="C70" s="230" t="s">
        <v>835</v>
      </c>
      <c r="D70" s="401"/>
      <c r="E70" s="82">
        <v>121</v>
      </c>
      <c r="F70" s="82">
        <v>121</v>
      </c>
      <c r="G70" s="82">
        <v>8.5</v>
      </c>
      <c r="H70" s="82">
        <v>46.7</v>
      </c>
      <c r="I70" s="82" t="s">
        <v>839</v>
      </c>
    </row>
    <row r="71" spans="1:9" ht="15" thickBot="1" x14ac:dyDescent="0.4">
      <c r="A71" s="101" t="s">
        <v>820</v>
      </c>
      <c r="B71" s="225" t="s">
        <v>148</v>
      </c>
      <c r="C71" s="225" t="s">
        <v>148</v>
      </c>
      <c r="D71" s="395">
        <v>1</v>
      </c>
      <c r="E71" s="80">
        <v>121</v>
      </c>
      <c r="F71" s="80">
        <v>118</v>
      </c>
      <c r="G71" s="80">
        <v>8.3000000000000007</v>
      </c>
      <c r="H71" s="80">
        <v>50.4</v>
      </c>
      <c r="I71" s="80" t="s">
        <v>840</v>
      </c>
    </row>
    <row r="72" spans="1:9" s="81" customFormat="1" x14ac:dyDescent="0.35">
      <c r="A72" s="100" t="s">
        <v>837</v>
      </c>
      <c r="B72" s="224" t="s">
        <v>1043</v>
      </c>
      <c r="C72" s="224" t="s">
        <v>377</v>
      </c>
      <c r="D72" s="394"/>
      <c r="E72" s="88">
        <v>109</v>
      </c>
      <c r="F72" s="88">
        <v>100</v>
      </c>
      <c r="G72" s="88">
        <v>33.799999999999997</v>
      </c>
      <c r="H72" s="88">
        <v>36</v>
      </c>
      <c r="I72" s="88" t="s">
        <v>841</v>
      </c>
    </row>
    <row r="73" spans="1:9" s="81" customFormat="1" x14ac:dyDescent="0.35">
      <c r="A73" s="104" t="s">
        <v>837</v>
      </c>
      <c r="B73" s="230" t="s">
        <v>1044</v>
      </c>
      <c r="C73" s="230" t="s">
        <v>378</v>
      </c>
      <c r="D73" s="401"/>
      <c r="E73" s="82">
        <v>111</v>
      </c>
      <c r="F73" s="82">
        <v>107</v>
      </c>
      <c r="G73" s="82">
        <v>33.9</v>
      </c>
      <c r="H73" s="82">
        <v>32</v>
      </c>
      <c r="I73" s="82" t="s">
        <v>842</v>
      </c>
    </row>
    <row r="74" spans="1:9" s="81" customFormat="1" ht="15" thickBot="1" x14ac:dyDescent="0.4">
      <c r="A74" s="104" t="s">
        <v>837</v>
      </c>
      <c r="B74" s="230" t="s">
        <v>148</v>
      </c>
      <c r="C74" s="230" t="s">
        <v>148</v>
      </c>
      <c r="D74" s="401">
        <v>1</v>
      </c>
      <c r="E74" s="82">
        <v>109</v>
      </c>
      <c r="F74" s="82">
        <v>102</v>
      </c>
      <c r="G74" s="82">
        <v>33.700000000000003</v>
      </c>
      <c r="H74" s="82">
        <v>35</v>
      </c>
      <c r="I74" s="82" t="s">
        <v>843</v>
      </c>
    </row>
    <row r="75" spans="1:9" s="242" customFormat="1" x14ac:dyDescent="0.35">
      <c r="A75" s="90" t="s">
        <v>352</v>
      </c>
      <c r="B75" s="227" t="s">
        <v>1077</v>
      </c>
      <c r="C75" s="227" t="s">
        <v>379</v>
      </c>
      <c r="D75" s="402"/>
      <c r="E75" s="94">
        <v>53</v>
      </c>
      <c r="F75" s="94">
        <v>44</v>
      </c>
      <c r="G75" s="94">
        <v>33.5</v>
      </c>
      <c r="H75" s="94">
        <v>47</v>
      </c>
      <c r="I75" s="46" t="s">
        <v>653</v>
      </c>
    </row>
    <row r="76" spans="1:9" x14ac:dyDescent="0.35">
      <c r="A76" s="91" t="s">
        <v>352</v>
      </c>
      <c r="B76" s="228" t="s">
        <v>1078</v>
      </c>
      <c r="C76" s="228" t="s">
        <v>380</v>
      </c>
      <c r="D76" s="404"/>
      <c r="E76" s="85">
        <v>54</v>
      </c>
      <c r="F76" s="85">
        <v>45</v>
      </c>
      <c r="G76" s="85">
        <v>33.700000000000003</v>
      </c>
      <c r="H76" s="85">
        <v>59</v>
      </c>
      <c r="I76" s="84" t="s">
        <v>655</v>
      </c>
    </row>
    <row r="77" spans="1:9" x14ac:dyDescent="0.35">
      <c r="A77" s="91" t="s">
        <v>352</v>
      </c>
      <c r="B77" s="228" t="s">
        <v>1079</v>
      </c>
      <c r="C77" s="228" t="s">
        <v>381</v>
      </c>
      <c r="D77" s="404"/>
      <c r="E77" s="85">
        <v>52</v>
      </c>
      <c r="F77" s="85">
        <v>45</v>
      </c>
      <c r="G77" s="85">
        <v>34.4</v>
      </c>
      <c r="H77" s="85">
        <v>40</v>
      </c>
      <c r="I77" s="84" t="s">
        <v>656</v>
      </c>
    </row>
    <row r="78" spans="1:9" x14ac:dyDescent="0.35">
      <c r="A78" s="91" t="s">
        <v>352</v>
      </c>
      <c r="B78" s="228" t="s">
        <v>1080</v>
      </c>
      <c r="C78" s="228" t="s">
        <v>382</v>
      </c>
      <c r="D78" s="404"/>
      <c r="E78" s="85">
        <v>52</v>
      </c>
      <c r="F78" s="85">
        <v>38</v>
      </c>
      <c r="G78" s="85">
        <v>35.799999999999997</v>
      </c>
      <c r="H78" s="85">
        <v>44</v>
      </c>
      <c r="I78" s="84" t="s">
        <v>654</v>
      </c>
    </row>
    <row r="79" spans="1:9" ht="15" thickBot="1" x14ac:dyDescent="0.4">
      <c r="A79" s="79" t="s">
        <v>352</v>
      </c>
      <c r="B79" s="229" t="s">
        <v>148</v>
      </c>
      <c r="C79" s="229" t="s">
        <v>148</v>
      </c>
      <c r="D79" s="403">
        <v>1</v>
      </c>
      <c r="E79" s="96">
        <v>53</v>
      </c>
      <c r="F79" s="96">
        <v>44</v>
      </c>
      <c r="G79" s="96">
        <v>37</v>
      </c>
      <c r="H79" s="96">
        <v>53</v>
      </c>
      <c r="I79" s="93" t="s">
        <v>654</v>
      </c>
    </row>
    <row r="80" spans="1:9" s="50" customFormat="1" x14ac:dyDescent="0.35">
      <c r="A80" s="90" t="s">
        <v>361</v>
      </c>
      <c r="B80" s="222" t="s">
        <v>148</v>
      </c>
      <c r="C80" s="222" t="s">
        <v>148</v>
      </c>
      <c r="D80" s="396">
        <v>1</v>
      </c>
      <c r="E80" s="46">
        <v>27</v>
      </c>
      <c r="F80" s="46">
        <v>27</v>
      </c>
      <c r="G80" s="46" t="s">
        <v>677</v>
      </c>
      <c r="H80" s="46">
        <v>30</v>
      </c>
      <c r="I80" s="46" t="s">
        <v>674</v>
      </c>
    </row>
    <row r="81" spans="1:9" s="50" customFormat="1" x14ac:dyDescent="0.35">
      <c r="A81" s="91" t="s">
        <v>361</v>
      </c>
      <c r="B81" s="226" t="s">
        <v>1101</v>
      </c>
      <c r="C81" s="226" t="s">
        <v>268</v>
      </c>
      <c r="D81" s="397"/>
      <c r="E81" s="84">
        <v>24</v>
      </c>
      <c r="F81" s="84">
        <v>23</v>
      </c>
      <c r="G81" s="84" t="s">
        <v>676</v>
      </c>
      <c r="H81" s="84">
        <v>29</v>
      </c>
      <c r="I81" s="84" t="s">
        <v>673</v>
      </c>
    </row>
    <row r="82" spans="1:9" s="241" customFormat="1" ht="15" thickBot="1" x14ac:dyDescent="0.4">
      <c r="A82" s="79" t="s">
        <v>361</v>
      </c>
      <c r="B82" s="223" t="s">
        <v>1103</v>
      </c>
      <c r="C82" s="223" t="s">
        <v>271</v>
      </c>
      <c r="D82" s="398"/>
      <c r="E82" s="93">
        <v>28</v>
      </c>
      <c r="F82" s="93">
        <v>27</v>
      </c>
      <c r="G82" s="93" t="s">
        <v>633</v>
      </c>
      <c r="H82" s="93">
        <v>32</v>
      </c>
      <c r="I82" s="93" t="s">
        <v>675</v>
      </c>
    </row>
    <row r="83" spans="1:9" x14ac:dyDescent="0.35">
      <c r="A83" s="95" t="s">
        <v>315</v>
      </c>
      <c r="B83" s="230" t="s">
        <v>1039</v>
      </c>
      <c r="C83" s="230" t="s">
        <v>398</v>
      </c>
      <c r="D83" s="401">
        <v>1</v>
      </c>
      <c r="E83" s="82">
        <v>22</v>
      </c>
      <c r="F83" s="82">
        <v>19</v>
      </c>
      <c r="G83" s="82">
        <v>37</v>
      </c>
      <c r="H83" s="82">
        <v>45</v>
      </c>
      <c r="I83" s="82" t="s">
        <v>614</v>
      </c>
    </row>
    <row r="84" spans="1:9" s="241" customFormat="1" ht="15" thickBot="1" x14ac:dyDescent="0.4">
      <c r="A84" s="89" t="s">
        <v>315</v>
      </c>
      <c r="B84" s="225" t="s">
        <v>1074</v>
      </c>
      <c r="C84" s="225" t="s">
        <v>397</v>
      </c>
      <c r="D84" s="395"/>
      <c r="E84" s="80">
        <v>20</v>
      </c>
      <c r="F84" s="80">
        <v>19</v>
      </c>
      <c r="G84" s="80">
        <v>43</v>
      </c>
      <c r="H84" s="80">
        <v>50</v>
      </c>
      <c r="I84" s="80" t="s">
        <v>613</v>
      </c>
    </row>
    <row r="85" spans="1:9" ht="29" x14ac:dyDescent="0.35">
      <c r="A85" s="91" t="s">
        <v>709</v>
      </c>
      <c r="B85" s="226" t="s">
        <v>1081</v>
      </c>
      <c r="C85" s="226" t="s">
        <v>714</v>
      </c>
      <c r="D85" s="397"/>
      <c r="E85" s="84">
        <v>55</v>
      </c>
      <c r="F85" s="84">
        <v>43</v>
      </c>
      <c r="G85" s="84">
        <v>35.299999999999997</v>
      </c>
      <c r="H85" s="84">
        <v>47.3</v>
      </c>
      <c r="I85" s="84" t="s">
        <v>660</v>
      </c>
    </row>
    <row r="86" spans="1:9" ht="29" x14ac:dyDescent="0.35">
      <c r="A86" s="91" t="s">
        <v>709</v>
      </c>
      <c r="B86" s="226" t="s">
        <v>1082</v>
      </c>
      <c r="C86" s="226" t="s">
        <v>715</v>
      </c>
      <c r="D86" s="397"/>
      <c r="E86" s="84">
        <v>57</v>
      </c>
      <c r="F86" s="84">
        <v>50</v>
      </c>
      <c r="G86" s="84">
        <v>40.200000000000003</v>
      </c>
      <c r="H86" s="84">
        <v>49.1</v>
      </c>
      <c r="I86" s="84" t="s">
        <v>724</v>
      </c>
    </row>
    <row r="87" spans="1:9" ht="29" x14ac:dyDescent="0.35">
      <c r="A87" s="91" t="s">
        <v>709</v>
      </c>
      <c r="B87" s="226" t="s">
        <v>1083</v>
      </c>
      <c r="C87" s="226" t="s">
        <v>716</v>
      </c>
      <c r="D87" s="397"/>
      <c r="E87" s="84">
        <v>57</v>
      </c>
      <c r="F87" s="84">
        <v>43</v>
      </c>
      <c r="G87" s="84">
        <v>40.9</v>
      </c>
      <c r="H87" s="84">
        <v>54.4</v>
      </c>
      <c r="I87" s="84" t="s">
        <v>725</v>
      </c>
    </row>
    <row r="88" spans="1:9" ht="15" thickBot="1" x14ac:dyDescent="0.4">
      <c r="A88" s="79" t="s">
        <v>709</v>
      </c>
      <c r="B88" s="223" t="s">
        <v>148</v>
      </c>
      <c r="C88" s="223" t="s">
        <v>148</v>
      </c>
      <c r="D88" s="398">
        <v>1</v>
      </c>
      <c r="E88" s="93">
        <v>57</v>
      </c>
      <c r="F88" s="93">
        <v>40</v>
      </c>
      <c r="G88" s="93">
        <v>40.9</v>
      </c>
      <c r="H88" s="93">
        <v>45.6</v>
      </c>
      <c r="I88" s="93" t="s">
        <v>726</v>
      </c>
    </row>
    <row r="89" spans="1:9" x14ac:dyDescent="0.35">
      <c r="A89" s="100" t="s">
        <v>855</v>
      </c>
      <c r="B89" s="224" t="s">
        <v>148</v>
      </c>
      <c r="C89" s="224" t="s">
        <v>148</v>
      </c>
      <c r="D89" s="394">
        <v>1</v>
      </c>
      <c r="E89" s="88">
        <v>126</v>
      </c>
      <c r="F89" s="88">
        <v>120</v>
      </c>
      <c r="G89" s="88" t="s">
        <v>852</v>
      </c>
      <c r="H89" s="88">
        <v>33.9</v>
      </c>
      <c r="I89" s="88" t="s">
        <v>854</v>
      </c>
    </row>
    <row r="90" spans="1:9" ht="29.5" thickBot="1" x14ac:dyDescent="0.4">
      <c r="A90" s="101" t="s">
        <v>855</v>
      </c>
      <c r="B90" s="225" t="s">
        <v>1096</v>
      </c>
      <c r="C90" s="225" t="s">
        <v>849</v>
      </c>
      <c r="D90" s="395"/>
      <c r="E90" s="80">
        <v>252</v>
      </c>
      <c r="F90" s="80">
        <v>235</v>
      </c>
      <c r="G90" s="80" t="s">
        <v>851</v>
      </c>
      <c r="H90" s="80">
        <v>50.6</v>
      </c>
      <c r="I90" s="80" t="s">
        <v>853</v>
      </c>
    </row>
    <row r="91" spans="1:9" x14ac:dyDescent="0.35">
      <c r="A91" s="77" t="s">
        <v>764</v>
      </c>
      <c r="B91" s="224" t="s">
        <v>1042</v>
      </c>
      <c r="C91" s="224" t="s">
        <v>768</v>
      </c>
      <c r="D91" s="394"/>
      <c r="E91" s="88">
        <v>127</v>
      </c>
      <c r="F91" s="88">
        <v>116</v>
      </c>
      <c r="G91" s="88">
        <v>36</v>
      </c>
      <c r="H91" s="88">
        <v>38.6</v>
      </c>
      <c r="I91" s="88" t="s">
        <v>680</v>
      </c>
    </row>
    <row r="92" spans="1:9" x14ac:dyDescent="0.35">
      <c r="A92" s="102" t="s">
        <v>764</v>
      </c>
      <c r="B92" s="230" t="s">
        <v>1043</v>
      </c>
      <c r="C92" s="230" t="s">
        <v>377</v>
      </c>
      <c r="D92" s="401"/>
      <c r="E92" s="82">
        <v>123</v>
      </c>
      <c r="F92" s="82">
        <v>113</v>
      </c>
      <c r="G92" s="82">
        <v>35</v>
      </c>
      <c r="H92" s="82">
        <v>33.299999999999997</v>
      </c>
      <c r="I92" s="82" t="s">
        <v>681</v>
      </c>
    </row>
    <row r="93" spans="1:9" x14ac:dyDescent="0.35">
      <c r="A93" s="102" t="s">
        <v>764</v>
      </c>
      <c r="B93" s="230" t="s">
        <v>1044</v>
      </c>
      <c r="C93" s="230" t="s">
        <v>378</v>
      </c>
      <c r="D93" s="401"/>
      <c r="E93" s="82">
        <v>125</v>
      </c>
      <c r="F93" s="82">
        <v>120</v>
      </c>
      <c r="G93" s="82">
        <v>37</v>
      </c>
      <c r="H93" s="82">
        <v>33.6</v>
      </c>
      <c r="I93" s="82" t="s">
        <v>772</v>
      </c>
    </row>
    <row r="94" spans="1:9" ht="15" thickBot="1" x14ac:dyDescent="0.4">
      <c r="A94" s="78" t="s">
        <v>764</v>
      </c>
      <c r="B94" s="225" t="s">
        <v>148</v>
      </c>
      <c r="C94" s="225" t="s">
        <v>148</v>
      </c>
      <c r="D94" s="395">
        <v>1</v>
      </c>
      <c r="E94" s="80">
        <v>249</v>
      </c>
      <c r="F94" s="80">
        <v>226</v>
      </c>
      <c r="G94" s="80">
        <v>35</v>
      </c>
      <c r="H94" s="80">
        <v>40.6</v>
      </c>
      <c r="I94" s="80" t="s">
        <v>773</v>
      </c>
    </row>
    <row r="95" spans="1:9" x14ac:dyDescent="0.35">
      <c r="A95" s="77" t="s">
        <v>774</v>
      </c>
      <c r="B95" s="224" t="s">
        <v>1042</v>
      </c>
      <c r="C95" s="224" t="s">
        <v>768</v>
      </c>
      <c r="D95" s="394"/>
      <c r="E95" s="88">
        <v>125</v>
      </c>
      <c r="F95" s="88">
        <v>115</v>
      </c>
      <c r="G95" s="88">
        <v>33</v>
      </c>
      <c r="H95" s="88">
        <v>36</v>
      </c>
      <c r="I95" s="88" t="s">
        <v>776</v>
      </c>
    </row>
    <row r="96" spans="1:9" x14ac:dyDescent="0.35">
      <c r="A96" s="102" t="s">
        <v>774</v>
      </c>
      <c r="B96" s="230" t="s">
        <v>1043</v>
      </c>
      <c r="C96" s="230" t="s">
        <v>377</v>
      </c>
      <c r="D96" s="401"/>
      <c r="E96" s="82">
        <v>123</v>
      </c>
      <c r="F96" s="82">
        <v>113</v>
      </c>
      <c r="G96" s="82">
        <v>36</v>
      </c>
      <c r="H96" s="82">
        <v>47.2</v>
      </c>
      <c r="I96" s="82" t="s">
        <v>777</v>
      </c>
    </row>
    <row r="97" spans="1:9" x14ac:dyDescent="0.35">
      <c r="A97" s="102" t="s">
        <v>774</v>
      </c>
      <c r="B97" s="230" t="s">
        <v>1044</v>
      </c>
      <c r="C97" s="230" t="s">
        <v>378</v>
      </c>
      <c r="D97" s="401"/>
      <c r="E97" s="82">
        <v>123</v>
      </c>
      <c r="F97" s="82">
        <v>117</v>
      </c>
      <c r="G97" s="82">
        <v>34</v>
      </c>
      <c r="H97" s="82">
        <v>33.299999999999997</v>
      </c>
      <c r="I97" s="82" t="s">
        <v>776</v>
      </c>
    </row>
    <row r="98" spans="1:9" ht="15" thickBot="1" x14ac:dyDescent="0.4">
      <c r="A98" s="102" t="s">
        <v>774</v>
      </c>
      <c r="B98" s="230" t="s">
        <v>148</v>
      </c>
      <c r="C98" s="230" t="s">
        <v>148</v>
      </c>
      <c r="D98" s="401">
        <v>1</v>
      </c>
      <c r="E98" s="82">
        <v>244</v>
      </c>
      <c r="F98" s="82">
        <v>225</v>
      </c>
      <c r="G98" s="82">
        <v>35</v>
      </c>
      <c r="H98" s="82">
        <v>36.9</v>
      </c>
      <c r="I98" s="82" t="s">
        <v>776</v>
      </c>
    </row>
    <row r="99" spans="1:9" s="240" customFormat="1" ht="29" x14ac:dyDescent="0.35">
      <c r="A99" s="87" t="s">
        <v>409</v>
      </c>
      <c r="B99" s="222" t="s">
        <v>1056</v>
      </c>
      <c r="C99" s="222" t="s">
        <v>406</v>
      </c>
      <c r="D99" s="396"/>
      <c r="E99" s="46">
        <v>224</v>
      </c>
      <c r="F99" s="94">
        <v>208</v>
      </c>
      <c r="G99" s="94" t="s">
        <v>629</v>
      </c>
      <c r="H99" s="94">
        <v>42</v>
      </c>
      <c r="I99" s="46" t="s">
        <v>128</v>
      </c>
    </row>
    <row r="100" spans="1:9" x14ac:dyDescent="0.35">
      <c r="A100" s="95" t="s">
        <v>409</v>
      </c>
      <c r="B100" s="226" t="s">
        <v>1059</v>
      </c>
      <c r="C100" s="226" t="s">
        <v>405</v>
      </c>
      <c r="D100" s="397"/>
      <c r="E100" s="84">
        <v>223</v>
      </c>
      <c r="F100" s="85">
        <v>197</v>
      </c>
      <c r="G100" s="85" t="s">
        <v>628</v>
      </c>
      <c r="H100" s="85">
        <v>36</v>
      </c>
      <c r="I100" s="84" t="s">
        <v>626</v>
      </c>
    </row>
    <row r="101" spans="1:9" s="241" customFormat="1" ht="15" thickBot="1" x14ac:dyDescent="0.4">
      <c r="A101" s="89" t="s">
        <v>409</v>
      </c>
      <c r="B101" s="229" t="s">
        <v>148</v>
      </c>
      <c r="C101" s="229" t="s">
        <v>148</v>
      </c>
      <c r="D101" s="403">
        <v>1</v>
      </c>
      <c r="E101" s="96">
        <v>224</v>
      </c>
      <c r="F101" s="96">
        <v>184</v>
      </c>
      <c r="G101" s="96" t="s">
        <v>628</v>
      </c>
      <c r="H101" s="96">
        <v>47</v>
      </c>
      <c r="I101" s="93" t="s">
        <v>627</v>
      </c>
    </row>
    <row r="102" spans="1:9" ht="29" x14ac:dyDescent="0.35">
      <c r="A102" s="95" t="s">
        <v>358</v>
      </c>
      <c r="B102" s="226" t="s">
        <v>1059</v>
      </c>
      <c r="C102" s="226" t="s">
        <v>404</v>
      </c>
      <c r="D102" s="397"/>
      <c r="E102" s="84">
        <v>239</v>
      </c>
      <c r="F102" s="85">
        <v>221</v>
      </c>
      <c r="G102" s="85" t="s">
        <v>630</v>
      </c>
      <c r="H102" s="85">
        <v>42</v>
      </c>
      <c r="I102" s="84" t="s">
        <v>626</v>
      </c>
    </row>
    <row r="103" spans="1:9" ht="29" x14ac:dyDescent="0.35">
      <c r="A103" s="95" t="s">
        <v>358</v>
      </c>
      <c r="B103" s="226" t="s">
        <v>1056</v>
      </c>
      <c r="C103" s="226" t="s">
        <v>406</v>
      </c>
      <c r="D103" s="397"/>
      <c r="E103" s="84">
        <v>233</v>
      </c>
      <c r="F103" s="85">
        <v>220</v>
      </c>
      <c r="G103" s="85" t="s">
        <v>631</v>
      </c>
      <c r="H103" s="85">
        <v>42</v>
      </c>
      <c r="I103" s="84" t="s">
        <v>128</v>
      </c>
    </row>
    <row r="104" spans="1:9" s="241" customFormat="1" ht="15" thickBot="1" x14ac:dyDescent="0.4">
      <c r="A104" s="89" t="s">
        <v>358</v>
      </c>
      <c r="B104" s="229" t="s">
        <v>148</v>
      </c>
      <c r="C104" s="229" t="s">
        <v>148</v>
      </c>
      <c r="D104" s="403">
        <v>1</v>
      </c>
      <c r="E104" s="96">
        <v>236</v>
      </c>
      <c r="F104" s="96">
        <v>190</v>
      </c>
      <c r="G104" s="96" t="s">
        <v>632</v>
      </c>
      <c r="H104" s="96">
        <v>47</v>
      </c>
      <c r="I104" s="93" t="s">
        <v>627</v>
      </c>
    </row>
    <row r="105" spans="1:9" x14ac:dyDescent="0.35">
      <c r="A105" s="91" t="s">
        <v>243</v>
      </c>
      <c r="B105" s="228" t="s">
        <v>1038</v>
      </c>
      <c r="C105" s="228" t="s">
        <v>440</v>
      </c>
      <c r="D105" s="404"/>
      <c r="E105" s="85">
        <v>58</v>
      </c>
      <c r="F105" s="85">
        <v>46</v>
      </c>
      <c r="G105" s="85">
        <v>39.200000000000003</v>
      </c>
      <c r="H105" s="85">
        <v>46.6</v>
      </c>
      <c r="I105" s="85" t="s">
        <v>650</v>
      </c>
    </row>
    <row r="106" spans="1:9" x14ac:dyDescent="0.35">
      <c r="A106" s="91" t="s">
        <v>243</v>
      </c>
      <c r="B106" s="228" t="s">
        <v>1037</v>
      </c>
      <c r="C106" s="228" t="s">
        <v>441</v>
      </c>
      <c r="D106" s="404"/>
      <c r="E106" s="85">
        <v>63</v>
      </c>
      <c r="F106" s="85">
        <v>50</v>
      </c>
      <c r="G106" s="85">
        <v>31</v>
      </c>
      <c r="H106" s="85">
        <v>50.8</v>
      </c>
      <c r="I106" s="85" t="s">
        <v>652</v>
      </c>
    </row>
    <row r="107" spans="1:9" ht="15" thickBot="1" x14ac:dyDescent="0.4">
      <c r="A107" s="91" t="s">
        <v>243</v>
      </c>
      <c r="B107" s="228" t="s">
        <v>148</v>
      </c>
      <c r="C107" s="228" t="s">
        <v>148</v>
      </c>
      <c r="D107" s="404">
        <v>1</v>
      </c>
      <c r="E107" s="85">
        <v>64</v>
      </c>
      <c r="F107" s="85">
        <v>50</v>
      </c>
      <c r="G107" s="85">
        <v>37.700000000000003</v>
      </c>
      <c r="H107" s="85">
        <v>60.9</v>
      </c>
      <c r="I107" s="85" t="s">
        <v>651</v>
      </c>
    </row>
    <row r="108" spans="1:9" s="240" customFormat="1" x14ac:dyDescent="0.35">
      <c r="A108" s="87" t="s">
        <v>251</v>
      </c>
      <c r="B108" s="227" t="s">
        <v>1068</v>
      </c>
      <c r="C108" s="227" t="s">
        <v>383</v>
      </c>
      <c r="D108" s="402"/>
      <c r="E108" s="94">
        <v>52</v>
      </c>
      <c r="F108" s="94">
        <v>49</v>
      </c>
      <c r="G108" s="94">
        <v>34.9</v>
      </c>
      <c r="H108" s="94">
        <v>34.6</v>
      </c>
      <c r="I108" s="46" t="s">
        <v>657</v>
      </c>
    </row>
    <row r="109" spans="1:9" x14ac:dyDescent="0.35">
      <c r="A109" s="95" t="s">
        <v>251</v>
      </c>
      <c r="B109" s="228" t="s">
        <v>1069</v>
      </c>
      <c r="C109" s="228" t="s">
        <v>385</v>
      </c>
      <c r="D109" s="404"/>
      <c r="E109" s="85">
        <v>51</v>
      </c>
      <c r="F109" s="85">
        <v>48</v>
      </c>
      <c r="G109" s="85">
        <v>36.6</v>
      </c>
      <c r="H109" s="85">
        <v>31.4</v>
      </c>
      <c r="I109" s="84" t="s">
        <v>659</v>
      </c>
    </row>
    <row r="110" spans="1:9" x14ac:dyDescent="0.35">
      <c r="A110" s="95" t="s">
        <v>251</v>
      </c>
      <c r="B110" s="228" t="s">
        <v>1070</v>
      </c>
      <c r="C110" s="228" t="s">
        <v>384</v>
      </c>
      <c r="D110" s="404"/>
      <c r="E110" s="85">
        <v>53</v>
      </c>
      <c r="F110" s="85">
        <v>53</v>
      </c>
      <c r="G110" s="85">
        <v>34.4</v>
      </c>
      <c r="H110" s="85">
        <v>41.5</v>
      </c>
      <c r="I110" s="84" t="s">
        <v>658</v>
      </c>
    </row>
    <row r="111" spans="1:9" ht="15" thickBot="1" x14ac:dyDescent="0.4">
      <c r="A111" s="95" t="s">
        <v>251</v>
      </c>
      <c r="B111" s="228" t="s">
        <v>148</v>
      </c>
      <c r="C111" s="228" t="s">
        <v>148</v>
      </c>
      <c r="D111" s="404">
        <v>1</v>
      </c>
      <c r="E111" s="85">
        <v>53</v>
      </c>
      <c r="F111" s="85">
        <v>47</v>
      </c>
      <c r="G111" s="85">
        <v>38.700000000000003</v>
      </c>
      <c r="H111" s="85">
        <v>32.1</v>
      </c>
      <c r="I111" s="84" t="s">
        <v>652</v>
      </c>
    </row>
    <row r="112" spans="1:9" s="240" customFormat="1" x14ac:dyDescent="0.35">
      <c r="A112" s="87" t="s">
        <v>259</v>
      </c>
      <c r="B112" s="227" t="s">
        <v>148</v>
      </c>
      <c r="C112" s="227" t="s">
        <v>148</v>
      </c>
      <c r="D112" s="402">
        <v>1</v>
      </c>
      <c r="E112" s="94">
        <v>56</v>
      </c>
      <c r="F112" s="94">
        <v>49</v>
      </c>
      <c r="G112" s="94">
        <v>38.82</v>
      </c>
      <c r="H112" s="94">
        <v>46.4</v>
      </c>
      <c r="I112" s="94" t="s">
        <v>665</v>
      </c>
    </row>
    <row r="113" spans="1:9" s="241" customFormat="1" ht="15" thickBot="1" x14ac:dyDescent="0.4">
      <c r="A113" s="89" t="s">
        <v>259</v>
      </c>
      <c r="B113" s="229" t="s">
        <v>1093</v>
      </c>
      <c r="C113" s="229" t="s">
        <v>394</v>
      </c>
      <c r="D113" s="403"/>
      <c r="E113" s="96">
        <v>55</v>
      </c>
      <c r="F113" s="93">
        <v>49</v>
      </c>
      <c r="G113" s="93">
        <v>38.549999999999997</v>
      </c>
      <c r="H113" s="93">
        <v>41.8</v>
      </c>
      <c r="I113" s="96" t="s">
        <v>664</v>
      </c>
    </row>
    <row r="114" spans="1:9" x14ac:dyDescent="0.35">
      <c r="A114" s="102" t="s">
        <v>883</v>
      </c>
      <c r="B114" s="230" t="s">
        <v>1088</v>
      </c>
      <c r="C114" s="230" t="s">
        <v>707</v>
      </c>
      <c r="D114" s="401"/>
      <c r="E114" s="82">
        <v>156</v>
      </c>
      <c r="F114" s="82">
        <v>135</v>
      </c>
      <c r="G114" s="82">
        <v>32.6</v>
      </c>
      <c r="H114" s="82">
        <v>42</v>
      </c>
      <c r="I114" s="82" t="s">
        <v>887</v>
      </c>
    </row>
    <row r="115" spans="1:9" x14ac:dyDescent="0.35">
      <c r="A115" s="102" t="s">
        <v>883</v>
      </c>
      <c r="B115" s="230" t="s">
        <v>1089</v>
      </c>
      <c r="C115" s="230" t="s">
        <v>708</v>
      </c>
      <c r="D115" s="401"/>
      <c r="E115" s="83">
        <v>154</v>
      </c>
      <c r="F115" s="83">
        <v>137</v>
      </c>
      <c r="G115" s="83">
        <v>33</v>
      </c>
      <c r="H115" s="83">
        <v>47</v>
      </c>
      <c r="I115" s="83" t="s">
        <v>888</v>
      </c>
    </row>
    <row r="116" spans="1:9" s="51" customFormat="1" ht="15" thickBot="1" x14ac:dyDescent="0.4">
      <c r="A116" s="78" t="s">
        <v>883</v>
      </c>
      <c r="B116" s="231" t="s">
        <v>148</v>
      </c>
      <c r="C116" s="231" t="s">
        <v>148</v>
      </c>
      <c r="D116" s="400">
        <v>1</v>
      </c>
      <c r="E116" s="92">
        <v>77</v>
      </c>
      <c r="F116" s="92">
        <v>61</v>
      </c>
      <c r="G116" s="92">
        <v>31.5</v>
      </c>
      <c r="H116" s="92">
        <v>36</v>
      </c>
      <c r="I116" s="92" t="s">
        <v>889</v>
      </c>
    </row>
    <row r="117" spans="1:9" ht="43.5" x14ac:dyDescent="0.35">
      <c r="A117" s="97" t="s">
        <v>748</v>
      </c>
      <c r="B117" s="222" t="s">
        <v>1058</v>
      </c>
      <c r="C117" s="222" t="s">
        <v>690</v>
      </c>
      <c r="D117" s="396"/>
      <c r="E117" s="46">
        <v>82</v>
      </c>
      <c r="F117" s="46">
        <v>79</v>
      </c>
      <c r="G117" s="46">
        <v>14.5</v>
      </c>
      <c r="H117" s="46">
        <v>47.6</v>
      </c>
      <c r="I117" s="46" t="s">
        <v>692</v>
      </c>
    </row>
    <row r="118" spans="1:9" x14ac:dyDescent="0.35">
      <c r="A118" s="98" t="s">
        <v>748</v>
      </c>
      <c r="B118" s="226" t="s">
        <v>1057</v>
      </c>
      <c r="C118" s="226" t="s">
        <v>689</v>
      </c>
      <c r="D118" s="397"/>
      <c r="E118" s="84">
        <v>84</v>
      </c>
      <c r="F118" s="84">
        <v>81</v>
      </c>
      <c r="G118" s="84">
        <v>14.4</v>
      </c>
      <c r="H118" s="84">
        <v>38.1</v>
      </c>
      <c r="I118" s="84" t="s">
        <v>691</v>
      </c>
    </row>
    <row r="119" spans="1:9" ht="15" thickBot="1" x14ac:dyDescent="0.4">
      <c r="A119" s="99" t="s">
        <v>748</v>
      </c>
      <c r="B119" s="223" t="s">
        <v>148</v>
      </c>
      <c r="C119" s="223" t="s">
        <v>148</v>
      </c>
      <c r="D119" s="398">
        <v>1</v>
      </c>
      <c r="E119" s="93">
        <v>85</v>
      </c>
      <c r="F119" s="93">
        <v>80</v>
      </c>
      <c r="G119" s="93">
        <v>14.5</v>
      </c>
      <c r="H119" s="93">
        <v>37.6</v>
      </c>
      <c r="I119" s="93" t="s">
        <v>693</v>
      </c>
    </row>
    <row r="120" spans="1:9" ht="29" x14ac:dyDescent="0.35">
      <c r="A120" s="87" t="s">
        <v>175</v>
      </c>
      <c r="B120" s="224" t="s">
        <v>1048</v>
      </c>
      <c r="C120" s="224" t="s">
        <v>580</v>
      </c>
      <c r="D120" s="394"/>
      <c r="E120" s="88">
        <v>17</v>
      </c>
      <c r="F120" s="88">
        <v>17</v>
      </c>
      <c r="G120" s="88">
        <v>30</v>
      </c>
      <c r="H120" s="88">
        <v>35.299999999999997</v>
      </c>
      <c r="I120" s="88" t="s">
        <v>604</v>
      </c>
    </row>
    <row r="121" spans="1:9" s="241" customFormat="1" ht="29.5" thickBot="1" x14ac:dyDescent="0.4">
      <c r="A121" s="89" t="s">
        <v>175</v>
      </c>
      <c r="B121" s="225" t="s">
        <v>148</v>
      </c>
      <c r="C121" s="225" t="s">
        <v>148</v>
      </c>
      <c r="D121" s="395">
        <v>1</v>
      </c>
      <c r="E121" s="80">
        <v>16</v>
      </c>
      <c r="F121" s="80">
        <v>14</v>
      </c>
      <c r="G121" s="80">
        <v>29</v>
      </c>
      <c r="H121" s="80">
        <v>37.5</v>
      </c>
      <c r="I121" s="80" t="s">
        <v>605</v>
      </c>
    </row>
    <row r="122" spans="1:9" ht="29" x14ac:dyDescent="0.35">
      <c r="A122" s="95" t="s">
        <v>316</v>
      </c>
      <c r="B122" s="230" t="s">
        <v>1052</v>
      </c>
      <c r="C122" s="230" t="s">
        <v>1650</v>
      </c>
      <c r="D122" s="401"/>
      <c r="E122" s="82">
        <v>65</v>
      </c>
      <c r="F122" s="82">
        <v>59</v>
      </c>
      <c r="G122" s="82">
        <v>36.6</v>
      </c>
      <c r="H122" s="82">
        <v>48</v>
      </c>
      <c r="I122" s="82" t="s">
        <v>623</v>
      </c>
    </row>
    <row r="123" spans="1:9" ht="29" x14ac:dyDescent="0.35">
      <c r="A123" s="95" t="s">
        <v>316</v>
      </c>
      <c r="B123" s="230" t="s">
        <v>1053</v>
      </c>
      <c r="C123" s="230" t="s">
        <v>1651</v>
      </c>
      <c r="D123" s="401"/>
      <c r="E123" s="82">
        <v>61</v>
      </c>
      <c r="F123" s="82">
        <v>51</v>
      </c>
      <c r="G123" s="82">
        <v>35.799999999999997</v>
      </c>
      <c r="H123" s="82">
        <v>41</v>
      </c>
      <c r="I123" s="82" t="s">
        <v>620</v>
      </c>
    </row>
    <row r="124" spans="1:9" ht="29" x14ac:dyDescent="0.35">
      <c r="A124" s="95" t="s">
        <v>316</v>
      </c>
      <c r="B124" s="230" t="s">
        <v>1056</v>
      </c>
      <c r="C124" s="230" t="s">
        <v>1241</v>
      </c>
      <c r="D124" s="401"/>
      <c r="E124" s="82">
        <v>64</v>
      </c>
      <c r="F124" s="82">
        <v>61</v>
      </c>
      <c r="G124" s="82">
        <v>39.4</v>
      </c>
      <c r="H124" s="82">
        <v>36</v>
      </c>
      <c r="I124" s="82" t="s">
        <v>621</v>
      </c>
    </row>
    <row r="125" spans="1:9" ht="29" x14ac:dyDescent="0.35">
      <c r="A125" s="95" t="s">
        <v>316</v>
      </c>
      <c r="B125" s="230" t="s">
        <v>1057</v>
      </c>
      <c r="C125" s="230" t="s">
        <v>1652</v>
      </c>
      <c r="D125" s="401"/>
      <c r="E125" s="82">
        <v>65</v>
      </c>
      <c r="F125" s="82">
        <v>63</v>
      </c>
      <c r="G125" s="82">
        <v>36.799999999999997</v>
      </c>
      <c r="H125" s="82">
        <v>38</v>
      </c>
      <c r="I125" s="82" t="s">
        <v>622</v>
      </c>
    </row>
    <row r="126" spans="1:9" x14ac:dyDescent="0.35">
      <c r="A126" s="95" t="s">
        <v>316</v>
      </c>
      <c r="B126" s="230" t="s">
        <v>1059</v>
      </c>
      <c r="C126" s="230" t="s">
        <v>1653</v>
      </c>
      <c r="D126" s="401"/>
      <c r="E126" s="82">
        <v>63</v>
      </c>
      <c r="F126" s="82">
        <v>60</v>
      </c>
      <c r="G126" s="82">
        <v>36.200000000000003</v>
      </c>
      <c r="H126" s="82">
        <v>32</v>
      </c>
      <c r="I126" s="82" t="s">
        <v>619</v>
      </c>
    </row>
    <row r="127" spans="1:9" s="241" customFormat="1" ht="15" thickBot="1" x14ac:dyDescent="0.4">
      <c r="A127" s="89" t="s">
        <v>316</v>
      </c>
      <c r="B127" s="225" t="s">
        <v>148</v>
      </c>
      <c r="C127" s="225" t="s">
        <v>375</v>
      </c>
      <c r="D127" s="395">
        <v>1</v>
      </c>
      <c r="E127" s="80">
        <v>61</v>
      </c>
      <c r="F127" s="80">
        <v>53</v>
      </c>
      <c r="G127" s="80">
        <v>37.200000000000003</v>
      </c>
      <c r="H127" s="80">
        <v>34</v>
      </c>
      <c r="I127" s="80" t="s">
        <v>620</v>
      </c>
    </row>
    <row r="128" spans="1:9" ht="29" x14ac:dyDescent="0.35">
      <c r="A128" s="91" t="s">
        <v>360</v>
      </c>
      <c r="B128" s="228" t="s">
        <v>148</v>
      </c>
      <c r="C128" s="228" t="s">
        <v>148</v>
      </c>
      <c r="D128" s="404">
        <v>1</v>
      </c>
      <c r="E128" s="85">
        <v>33</v>
      </c>
      <c r="F128" s="85">
        <v>24</v>
      </c>
      <c r="G128" s="85" t="s">
        <v>645</v>
      </c>
      <c r="H128" s="84" t="s">
        <v>669</v>
      </c>
      <c r="I128" s="84" t="s">
        <v>667</v>
      </c>
    </row>
    <row r="129" spans="1:9" ht="15" thickBot="1" x14ac:dyDescent="0.4">
      <c r="A129" s="79" t="s">
        <v>360</v>
      </c>
      <c r="B129" s="229" t="s">
        <v>1105</v>
      </c>
      <c r="C129" s="229" t="s">
        <v>412</v>
      </c>
      <c r="D129" s="403"/>
      <c r="E129" s="96">
        <v>65</v>
      </c>
      <c r="F129" s="96">
        <v>54</v>
      </c>
      <c r="G129" s="96" t="s">
        <v>670</v>
      </c>
      <c r="H129" s="96" t="s">
        <v>668</v>
      </c>
      <c r="I129" s="93" t="s">
        <v>666</v>
      </c>
    </row>
    <row r="130" spans="1:9" x14ac:dyDescent="0.35">
      <c r="A130" s="100" t="s">
        <v>858</v>
      </c>
      <c r="B130" s="224" t="s">
        <v>148</v>
      </c>
      <c r="C130" s="224" t="s">
        <v>148</v>
      </c>
      <c r="D130" s="394">
        <v>1</v>
      </c>
      <c r="E130" s="88">
        <v>197</v>
      </c>
      <c r="F130" s="88">
        <v>179</v>
      </c>
      <c r="G130" s="88" t="s">
        <v>851</v>
      </c>
      <c r="H130" s="88">
        <v>38.200000000000003</v>
      </c>
      <c r="I130" s="88" t="s">
        <v>866</v>
      </c>
    </row>
    <row r="131" spans="1:9" s="241" customFormat="1" ht="29.5" thickBot="1" x14ac:dyDescent="0.4">
      <c r="A131" s="101" t="s">
        <v>858</v>
      </c>
      <c r="B131" s="225" t="s">
        <v>1096</v>
      </c>
      <c r="C131" s="225" t="s">
        <v>849</v>
      </c>
      <c r="D131" s="395"/>
      <c r="E131" s="80">
        <v>601</v>
      </c>
      <c r="F131" s="80">
        <v>550</v>
      </c>
      <c r="G131" s="80" t="s">
        <v>851</v>
      </c>
      <c r="H131" s="80">
        <v>41.8</v>
      </c>
      <c r="I131" s="80" t="s">
        <v>865</v>
      </c>
    </row>
    <row r="132" spans="1:9" x14ac:dyDescent="0.35">
      <c r="A132" s="104" t="s">
        <v>862</v>
      </c>
      <c r="B132" s="230" t="s">
        <v>148</v>
      </c>
      <c r="C132" s="230" t="s">
        <v>148</v>
      </c>
      <c r="D132" s="401">
        <v>1</v>
      </c>
      <c r="E132" s="83">
        <v>201</v>
      </c>
      <c r="F132" s="83">
        <v>179</v>
      </c>
      <c r="G132" s="83" t="s">
        <v>863</v>
      </c>
      <c r="H132" s="83">
        <v>43.3</v>
      </c>
      <c r="I132" s="83" t="s">
        <v>867</v>
      </c>
    </row>
    <row r="133" spans="1:9" ht="29.5" thickBot="1" x14ac:dyDescent="0.4">
      <c r="A133" s="101" t="s">
        <v>862</v>
      </c>
      <c r="B133" s="225" t="s">
        <v>1096</v>
      </c>
      <c r="C133" s="225" t="s">
        <v>849</v>
      </c>
      <c r="D133" s="395"/>
      <c r="E133" s="92">
        <v>591</v>
      </c>
      <c r="F133" s="92">
        <v>558</v>
      </c>
      <c r="G133" s="92" t="s">
        <v>852</v>
      </c>
      <c r="H133" s="92">
        <v>39.5</v>
      </c>
      <c r="I133" s="92" t="s">
        <v>865</v>
      </c>
    </row>
    <row r="134" spans="1:9" x14ac:dyDescent="0.35">
      <c r="A134" s="87" t="s">
        <v>359</v>
      </c>
      <c r="B134" s="227" t="s">
        <v>148</v>
      </c>
      <c r="C134" s="227" t="s">
        <v>148</v>
      </c>
      <c r="D134" s="402">
        <v>1</v>
      </c>
      <c r="E134" s="94">
        <v>51</v>
      </c>
      <c r="F134" s="94">
        <v>37</v>
      </c>
      <c r="G134" s="94">
        <v>39.4</v>
      </c>
      <c r="H134" s="94">
        <v>56.9</v>
      </c>
      <c r="I134" s="46" t="s">
        <v>661</v>
      </c>
    </row>
    <row r="135" spans="1:9" x14ac:dyDescent="0.35">
      <c r="A135" s="95" t="s">
        <v>359</v>
      </c>
      <c r="B135" s="228" t="s">
        <v>1094</v>
      </c>
      <c r="C135" s="228" t="s">
        <v>387</v>
      </c>
      <c r="D135" s="404"/>
      <c r="E135" s="85">
        <v>51</v>
      </c>
      <c r="F135" s="85">
        <v>44</v>
      </c>
      <c r="G135" s="85">
        <v>37.1</v>
      </c>
      <c r="H135" s="85">
        <v>49</v>
      </c>
      <c r="I135" s="84" t="s">
        <v>662</v>
      </c>
    </row>
    <row r="136" spans="1:9" x14ac:dyDescent="0.35">
      <c r="A136" s="95" t="s">
        <v>359</v>
      </c>
      <c r="B136" s="228" t="s">
        <v>1095</v>
      </c>
      <c r="C136" s="228" t="s">
        <v>388</v>
      </c>
      <c r="D136" s="404"/>
      <c r="E136" s="85">
        <v>52</v>
      </c>
      <c r="F136" s="85">
        <v>48</v>
      </c>
      <c r="G136" s="85">
        <v>35.700000000000003</v>
      </c>
      <c r="H136" s="85">
        <v>36.5</v>
      </c>
      <c r="I136" s="84" t="s">
        <v>663</v>
      </c>
    </row>
    <row r="137" spans="1:9" s="241" customFormat="1" ht="15" thickBot="1" x14ac:dyDescent="0.4">
      <c r="A137" s="89" t="s">
        <v>359</v>
      </c>
      <c r="B137" s="229" t="s">
        <v>1097</v>
      </c>
      <c r="C137" s="229" t="s">
        <v>386</v>
      </c>
      <c r="D137" s="403"/>
      <c r="E137" s="96">
        <v>50</v>
      </c>
      <c r="F137" s="96">
        <v>43</v>
      </c>
      <c r="G137" s="96">
        <v>39.1</v>
      </c>
      <c r="H137" s="96">
        <v>42</v>
      </c>
      <c r="I137" s="93" t="s">
        <v>660</v>
      </c>
    </row>
    <row r="138" spans="1:9" x14ac:dyDescent="0.35">
      <c r="A138" s="95" t="s">
        <v>1112</v>
      </c>
      <c r="B138" s="232" t="s">
        <v>148</v>
      </c>
      <c r="C138" s="232" t="s">
        <v>148</v>
      </c>
      <c r="D138" s="393">
        <v>1</v>
      </c>
      <c r="E138" s="83">
        <v>147</v>
      </c>
      <c r="F138" s="83">
        <v>126</v>
      </c>
      <c r="G138" s="83">
        <v>39</v>
      </c>
      <c r="H138" s="83">
        <v>46</v>
      </c>
      <c r="I138" s="83" t="s">
        <v>1117</v>
      </c>
    </row>
    <row r="139" spans="1:9" x14ac:dyDescent="0.35">
      <c r="A139" s="95" t="s">
        <v>1112</v>
      </c>
      <c r="B139" s="232" t="s">
        <v>1042</v>
      </c>
      <c r="C139" s="232" t="s">
        <v>768</v>
      </c>
      <c r="E139" s="83">
        <v>147</v>
      </c>
      <c r="F139" s="83">
        <v>131</v>
      </c>
      <c r="G139" s="83">
        <v>40</v>
      </c>
      <c r="H139" s="83">
        <v>49</v>
      </c>
      <c r="I139" s="83" t="s">
        <v>1116</v>
      </c>
    </row>
    <row r="140" spans="1:9" s="241" customFormat="1" ht="15" thickBot="1" x14ac:dyDescent="0.4">
      <c r="A140" s="89" t="s">
        <v>1112</v>
      </c>
      <c r="B140" s="231" t="s">
        <v>1043</v>
      </c>
      <c r="C140" s="231" t="s">
        <v>377</v>
      </c>
      <c r="D140" s="400"/>
      <c r="E140" s="92">
        <v>146</v>
      </c>
      <c r="F140" s="92">
        <v>127</v>
      </c>
      <c r="G140" s="92">
        <v>40</v>
      </c>
      <c r="H140" s="92">
        <v>53</v>
      </c>
      <c r="I140" s="92" t="s">
        <v>1118</v>
      </c>
    </row>
    <row r="141" spans="1:9" x14ac:dyDescent="0.35">
      <c r="A141" s="95" t="s">
        <v>1406</v>
      </c>
      <c r="B141" s="232" t="s">
        <v>148</v>
      </c>
      <c r="C141" s="232" t="s">
        <v>148</v>
      </c>
      <c r="D141" s="393">
        <v>1</v>
      </c>
      <c r="E141" s="83">
        <v>93</v>
      </c>
      <c r="F141" s="83">
        <v>53</v>
      </c>
      <c r="G141" s="83">
        <v>38.700000000000003</v>
      </c>
      <c r="H141" s="83">
        <v>47</v>
      </c>
      <c r="I141" s="83" t="s">
        <v>842</v>
      </c>
    </row>
    <row r="142" spans="1:9" x14ac:dyDescent="0.35">
      <c r="A142" s="95" t="s">
        <v>1406</v>
      </c>
      <c r="B142" s="232" t="s">
        <v>1042</v>
      </c>
      <c r="C142" s="232" t="s">
        <v>768</v>
      </c>
      <c r="E142" s="83">
        <v>93</v>
      </c>
      <c r="F142" s="83">
        <v>61</v>
      </c>
      <c r="G142" s="83">
        <v>38.9</v>
      </c>
      <c r="H142" s="83">
        <v>38</v>
      </c>
      <c r="I142" s="83" t="s">
        <v>1409</v>
      </c>
    </row>
    <row r="143" spans="1:9" x14ac:dyDescent="0.35">
      <c r="A143" s="95" t="s">
        <v>1406</v>
      </c>
      <c r="B143" s="232" t="s">
        <v>1043</v>
      </c>
      <c r="C143" s="232" t="s">
        <v>377</v>
      </c>
      <c r="E143" s="83">
        <v>185</v>
      </c>
      <c r="F143" s="83">
        <v>125</v>
      </c>
      <c r="G143" s="83">
        <v>37.299999999999997</v>
      </c>
      <c r="H143" s="83">
        <v>28</v>
      </c>
      <c r="I143" s="83" t="s">
        <v>888</v>
      </c>
    </row>
    <row r="144" spans="1:9" s="241" customFormat="1" ht="15" thickBot="1" x14ac:dyDescent="0.4">
      <c r="A144" s="89" t="s">
        <v>1406</v>
      </c>
      <c r="B144" s="231" t="s">
        <v>1044</v>
      </c>
      <c r="C144" s="231" t="s">
        <v>378</v>
      </c>
      <c r="D144" s="400"/>
      <c r="E144" s="92">
        <v>92</v>
      </c>
      <c r="F144" s="92">
        <v>64</v>
      </c>
      <c r="G144" s="92">
        <v>38.700000000000003</v>
      </c>
      <c r="H144" s="92">
        <v>38</v>
      </c>
      <c r="I144" s="92" t="s">
        <v>1410</v>
      </c>
    </row>
    <row r="145" spans="1:9" ht="15" thickBot="1" x14ac:dyDescent="0.4">
      <c r="A145" s="218" t="s">
        <v>1179</v>
      </c>
      <c r="B145" s="232" t="s">
        <v>148</v>
      </c>
      <c r="C145" s="232" t="s">
        <v>148</v>
      </c>
      <c r="D145" s="393">
        <v>1</v>
      </c>
      <c r="E145" s="83">
        <v>131</v>
      </c>
      <c r="F145" s="83">
        <v>117</v>
      </c>
      <c r="G145" s="83">
        <v>37.4</v>
      </c>
      <c r="H145" s="83">
        <v>41.2</v>
      </c>
      <c r="I145" s="83" t="s">
        <v>1180</v>
      </c>
    </row>
    <row r="146" spans="1:9" ht="15" thickBot="1" x14ac:dyDescent="0.4">
      <c r="A146" s="218" t="s">
        <v>1179</v>
      </c>
      <c r="B146" s="232" t="s">
        <v>1088</v>
      </c>
      <c r="C146" s="232" t="s">
        <v>1128</v>
      </c>
      <c r="E146" s="83">
        <v>238</v>
      </c>
      <c r="F146" s="83">
        <v>217</v>
      </c>
      <c r="G146" s="83">
        <v>37.299999999999997</v>
      </c>
      <c r="H146" s="83">
        <v>49.6</v>
      </c>
      <c r="I146" s="83" t="s">
        <v>1181</v>
      </c>
    </row>
    <row r="147" spans="1:9" ht="15" thickBot="1" x14ac:dyDescent="0.4">
      <c r="A147" s="218" t="s">
        <v>1179</v>
      </c>
      <c r="B147" s="232" t="s">
        <v>1089</v>
      </c>
      <c r="C147" s="232" t="s">
        <v>708</v>
      </c>
      <c r="E147" s="83">
        <v>226</v>
      </c>
      <c r="F147" s="83">
        <v>208</v>
      </c>
      <c r="G147" s="83">
        <v>38.799999999999997</v>
      </c>
      <c r="H147" s="83">
        <v>54</v>
      </c>
      <c r="I147" s="83" t="s">
        <v>1182</v>
      </c>
    </row>
    <row r="148" spans="1:9" s="241" customFormat="1" ht="15" thickBot="1" x14ac:dyDescent="0.4">
      <c r="A148" s="218" t="s">
        <v>1179</v>
      </c>
      <c r="B148" s="343" t="s">
        <v>1056</v>
      </c>
      <c r="C148" s="343" t="s">
        <v>1133</v>
      </c>
      <c r="D148" s="353"/>
      <c r="E148" s="92">
        <v>242</v>
      </c>
      <c r="F148" s="92">
        <v>223</v>
      </c>
      <c r="G148" s="92">
        <v>37.1</v>
      </c>
      <c r="H148" s="92">
        <v>55.4</v>
      </c>
      <c r="I148" s="92" t="s">
        <v>1183</v>
      </c>
    </row>
    <row r="149" spans="1:9" x14ac:dyDescent="0.35">
      <c r="A149" s="95" t="s">
        <v>1152</v>
      </c>
      <c r="B149" s="82" t="s">
        <v>1088</v>
      </c>
      <c r="C149" s="82" t="s">
        <v>707</v>
      </c>
      <c r="D149" s="354"/>
      <c r="E149" s="83">
        <v>158</v>
      </c>
      <c r="F149" s="83">
        <v>137</v>
      </c>
      <c r="G149" s="82">
        <v>37.4</v>
      </c>
      <c r="H149" s="83">
        <v>40.5</v>
      </c>
      <c r="I149" s="82" t="s">
        <v>617</v>
      </c>
    </row>
    <row r="150" spans="1:9" x14ac:dyDescent="0.35">
      <c r="A150" s="95" t="s">
        <v>1152</v>
      </c>
      <c r="B150" s="82" t="s">
        <v>1089</v>
      </c>
      <c r="C150" s="82" t="s">
        <v>708</v>
      </c>
      <c r="D150" s="354"/>
      <c r="E150" s="83">
        <v>155</v>
      </c>
      <c r="F150" s="83">
        <v>141</v>
      </c>
      <c r="G150" s="82">
        <v>33.5</v>
      </c>
      <c r="H150" s="83">
        <v>43.2</v>
      </c>
      <c r="I150" s="82" t="s">
        <v>654</v>
      </c>
    </row>
    <row r="151" spans="1:9" s="241" customFormat="1" ht="15" thickBot="1" x14ac:dyDescent="0.4">
      <c r="A151" s="89" t="s">
        <v>1152</v>
      </c>
      <c r="B151" s="92" t="s">
        <v>148</v>
      </c>
      <c r="C151" s="92" t="s">
        <v>148</v>
      </c>
      <c r="D151" s="355">
        <v>1</v>
      </c>
      <c r="E151" s="92">
        <v>78</v>
      </c>
      <c r="F151" s="92">
        <v>52</v>
      </c>
      <c r="G151" s="80">
        <v>33.4</v>
      </c>
      <c r="H151" s="92">
        <v>39.700000000000003</v>
      </c>
      <c r="I151" s="80" t="s">
        <v>1156</v>
      </c>
    </row>
    <row r="152" spans="1:9" ht="29" x14ac:dyDescent="0.35">
      <c r="A152" s="116" t="s">
        <v>1259</v>
      </c>
      <c r="B152" s="232" t="s">
        <v>1056</v>
      </c>
      <c r="C152" s="230" t="s">
        <v>1241</v>
      </c>
      <c r="D152" s="401"/>
      <c r="E152" s="83">
        <v>82</v>
      </c>
      <c r="F152" s="83">
        <v>76</v>
      </c>
      <c r="G152" s="83">
        <v>31</v>
      </c>
      <c r="H152" s="83">
        <v>29.3</v>
      </c>
      <c r="I152" s="83" t="s">
        <v>12</v>
      </c>
    </row>
    <row r="153" spans="1:9" s="241" customFormat="1" ht="15" thickBot="1" x14ac:dyDescent="0.4">
      <c r="A153" s="356" t="s">
        <v>1259</v>
      </c>
      <c r="B153" s="231" t="s">
        <v>148</v>
      </c>
      <c r="C153" s="231" t="s">
        <v>148</v>
      </c>
      <c r="D153" s="400">
        <v>1</v>
      </c>
      <c r="E153" s="92">
        <v>83</v>
      </c>
      <c r="F153" s="92">
        <v>66</v>
      </c>
      <c r="G153" s="92">
        <v>30.2</v>
      </c>
      <c r="H153" s="92">
        <v>27.7</v>
      </c>
      <c r="I153" s="92" t="s">
        <v>12</v>
      </c>
    </row>
    <row r="154" spans="1:9" x14ac:dyDescent="0.35">
      <c r="A154" s="116" t="s">
        <v>1256</v>
      </c>
      <c r="B154" s="232" t="s">
        <v>148</v>
      </c>
      <c r="C154" s="232" t="s">
        <v>148</v>
      </c>
      <c r="D154" s="393">
        <v>1</v>
      </c>
      <c r="E154" s="83">
        <v>96</v>
      </c>
      <c r="F154" s="83">
        <v>90</v>
      </c>
      <c r="G154" s="83">
        <v>14.8</v>
      </c>
      <c r="H154" s="83">
        <v>54.2</v>
      </c>
      <c r="I154" s="83" t="s">
        <v>1206</v>
      </c>
    </row>
    <row r="155" spans="1:9" x14ac:dyDescent="0.35">
      <c r="A155" s="116" t="s">
        <v>1256</v>
      </c>
      <c r="B155" s="232" t="s">
        <v>1088</v>
      </c>
      <c r="C155" s="232" t="s">
        <v>707</v>
      </c>
      <c r="E155" s="83">
        <v>95</v>
      </c>
      <c r="F155" s="83">
        <v>92</v>
      </c>
      <c r="G155" s="83">
        <v>15.1</v>
      </c>
      <c r="H155" s="83">
        <v>52.6</v>
      </c>
      <c r="I155" s="83" t="s">
        <v>1180</v>
      </c>
    </row>
    <row r="156" spans="1:9" s="241" customFormat="1" ht="15" thickBot="1" x14ac:dyDescent="0.4">
      <c r="A156" s="116" t="s">
        <v>1256</v>
      </c>
      <c r="B156" s="231" t="s">
        <v>1089</v>
      </c>
      <c r="C156" s="231" t="s">
        <v>708</v>
      </c>
      <c r="D156" s="400"/>
      <c r="E156" s="92">
        <v>94</v>
      </c>
      <c r="F156" s="92">
        <v>91</v>
      </c>
      <c r="G156" s="92">
        <v>14.7</v>
      </c>
      <c r="H156" s="92">
        <v>40.4</v>
      </c>
      <c r="I156" s="92" t="s">
        <v>1257</v>
      </c>
    </row>
    <row r="157" spans="1:9" x14ac:dyDescent="0.35">
      <c r="A157" s="116" t="s">
        <v>1191</v>
      </c>
      <c r="B157" s="232" t="s">
        <v>1098</v>
      </c>
      <c r="C157" s="232" t="s">
        <v>391</v>
      </c>
      <c r="E157" s="83">
        <v>281</v>
      </c>
      <c r="F157" s="83">
        <v>273</v>
      </c>
      <c r="G157" s="83">
        <v>34.1</v>
      </c>
      <c r="H157" s="83">
        <v>44</v>
      </c>
      <c r="I157" s="83" t="s">
        <v>888</v>
      </c>
    </row>
    <row r="158" spans="1:9" x14ac:dyDescent="0.35">
      <c r="A158" s="116" t="s">
        <v>1191</v>
      </c>
      <c r="B158" s="232" t="s">
        <v>1099</v>
      </c>
      <c r="C158" s="232" t="s">
        <v>392</v>
      </c>
      <c r="E158" s="83">
        <v>285</v>
      </c>
      <c r="F158" s="83">
        <v>270</v>
      </c>
      <c r="G158" s="83">
        <v>33.6</v>
      </c>
      <c r="H158" s="83">
        <v>46</v>
      </c>
      <c r="I158" s="83" t="s">
        <v>654</v>
      </c>
    </row>
    <row r="159" spans="1:9" s="241" customFormat="1" ht="15" thickBot="1" x14ac:dyDescent="0.4">
      <c r="A159" s="356" t="s">
        <v>1191</v>
      </c>
      <c r="B159" s="231" t="s">
        <v>148</v>
      </c>
      <c r="C159" s="231" t="s">
        <v>148</v>
      </c>
      <c r="D159" s="400">
        <v>1</v>
      </c>
      <c r="E159" s="92">
        <v>281</v>
      </c>
      <c r="F159" s="92">
        <v>243</v>
      </c>
      <c r="G159" s="92">
        <v>34.4</v>
      </c>
      <c r="H159" s="92">
        <v>49</v>
      </c>
      <c r="I159" s="92" t="s">
        <v>1198</v>
      </c>
    </row>
    <row r="160" spans="1:9" x14ac:dyDescent="0.35">
      <c r="A160" s="116" t="s">
        <v>1192</v>
      </c>
      <c r="B160" s="232" t="s">
        <v>1098</v>
      </c>
      <c r="C160" s="232" t="s">
        <v>391</v>
      </c>
      <c r="E160" s="83">
        <v>276</v>
      </c>
      <c r="F160" s="83">
        <v>260</v>
      </c>
      <c r="G160" s="83">
        <v>33.299999999999997</v>
      </c>
      <c r="H160" s="83">
        <v>44</v>
      </c>
      <c r="I160" s="83" t="s">
        <v>655</v>
      </c>
    </row>
    <row r="161" spans="1:9" x14ac:dyDescent="0.35">
      <c r="A161" s="116" t="s">
        <v>1192</v>
      </c>
      <c r="B161" s="232" t="s">
        <v>1099</v>
      </c>
      <c r="C161" s="232" t="s">
        <v>392</v>
      </c>
      <c r="E161" s="83">
        <v>282</v>
      </c>
      <c r="F161" s="83">
        <v>268</v>
      </c>
      <c r="G161" s="83">
        <v>34.1</v>
      </c>
      <c r="H161" s="83">
        <v>43</v>
      </c>
      <c r="I161" s="83" t="s">
        <v>1199</v>
      </c>
    </row>
    <row r="162" spans="1:9" s="241" customFormat="1" ht="15" thickBot="1" x14ac:dyDescent="0.4">
      <c r="A162" s="356" t="s">
        <v>1192</v>
      </c>
      <c r="B162" s="231" t="s">
        <v>148</v>
      </c>
      <c r="C162" s="231" t="s">
        <v>148</v>
      </c>
      <c r="D162" s="400">
        <v>1</v>
      </c>
      <c r="E162" s="92">
        <v>278</v>
      </c>
      <c r="F162" s="92">
        <v>241</v>
      </c>
      <c r="G162" s="92">
        <v>33.4</v>
      </c>
      <c r="H162" s="92">
        <v>45</v>
      </c>
      <c r="I162" s="92" t="s">
        <v>1200</v>
      </c>
    </row>
    <row r="163" spans="1:9" x14ac:dyDescent="0.35">
      <c r="A163" s="116" t="s">
        <v>1203</v>
      </c>
      <c r="B163" s="232" t="s">
        <v>1098</v>
      </c>
      <c r="C163" s="232" t="s">
        <v>391</v>
      </c>
      <c r="E163" s="83">
        <v>300</v>
      </c>
      <c r="F163" s="83">
        <v>289</v>
      </c>
      <c r="G163" s="83">
        <v>32.5</v>
      </c>
      <c r="H163" s="83">
        <v>40</v>
      </c>
      <c r="I163" s="83" t="s">
        <v>1206</v>
      </c>
    </row>
    <row r="164" spans="1:9" x14ac:dyDescent="0.35">
      <c r="A164" s="116" t="s">
        <v>1203</v>
      </c>
      <c r="B164" s="232" t="s">
        <v>1099</v>
      </c>
      <c r="C164" s="232" t="s">
        <v>392</v>
      </c>
      <c r="E164" s="83">
        <v>297</v>
      </c>
      <c r="F164" s="83">
        <v>287</v>
      </c>
      <c r="G164" s="83">
        <v>35.5</v>
      </c>
      <c r="H164" s="83">
        <v>36</v>
      </c>
      <c r="I164" s="83" t="s">
        <v>1199</v>
      </c>
    </row>
    <row r="165" spans="1:9" s="241" customFormat="1" ht="15" thickBot="1" x14ac:dyDescent="0.4">
      <c r="A165" s="356" t="s">
        <v>1203</v>
      </c>
      <c r="B165" s="231" t="s">
        <v>148</v>
      </c>
      <c r="C165" s="231" t="s">
        <v>148</v>
      </c>
      <c r="D165" s="400">
        <v>1</v>
      </c>
      <c r="E165" s="92">
        <v>303</v>
      </c>
      <c r="F165" s="92">
        <v>282</v>
      </c>
      <c r="G165" s="92">
        <v>34.299999999999997</v>
      </c>
      <c r="H165" s="92">
        <v>41</v>
      </c>
      <c r="I165" s="92" t="s">
        <v>1181</v>
      </c>
    </row>
    <row r="166" spans="1:9" ht="29" x14ac:dyDescent="0.35">
      <c r="A166" s="116" t="s">
        <v>1211</v>
      </c>
      <c r="B166" s="232" t="s">
        <v>1096</v>
      </c>
      <c r="C166" s="230" t="s">
        <v>849</v>
      </c>
      <c r="D166" s="401"/>
      <c r="E166" s="83">
        <v>106</v>
      </c>
      <c r="F166" s="83">
        <v>97</v>
      </c>
      <c r="G166" s="83" t="s">
        <v>1215</v>
      </c>
      <c r="H166" s="83">
        <v>49.5</v>
      </c>
      <c r="I166" s="83" t="s">
        <v>1216</v>
      </c>
    </row>
    <row r="167" spans="1:9" ht="15" thickBot="1" x14ac:dyDescent="0.4">
      <c r="A167" s="116" t="s">
        <v>1211</v>
      </c>
      <c r="B167" s="232" t="s">
        <v>148</v>
      </c>
      <c r="C167" s="232" t="s">
        <v>148</v>
      </c>
      <c r="D167" s="393">
        <v>1</v>
      </c>
      <c r="E167" s="83">
        <v>108</v>
      </c>
      <c r="F167" s="83">
        <v>88</v>
      </c>
      <c r="G167" s="83" t="s">
        <v>646</v>
      </c>
      <c r="H167" s="83">
        <v>67.599999999999994</v>
      </c>
      <c r="I167" s="83" t="s">
        <v>881</v>
      </c>
    </row>
    <row r="168" spans="1:9" s="385" customFormat="1" x14ac:dyDescent="0.35">
      <c r="A168" s="407" t="s">
        <v>1240</v>
      </c>
      <c r="B168" s="408" t="s">
        <v>1056</v>
      </c>
      <c r="C168" s="408" t="s">
        <v>1241</v>
      </c>
      <c r="D168" s="399">
        <v>1</v>
      </c>
      <c r="E168" s="408">
        <v>331</v>
      </c>
      <c r="F168" s="408">
        <v>307</v>
      </c>
      <c r="G168" s="408">
        <v>36.299999999999997</v>
      </c>
      <c r="H168" s="408">
        <v>42</v>
      </c>
      <c r="I168" s="408" t="s">
        <v>1206</v>
      </c>
    </row>
    <row r="169" spans="1:9" s="386" customFormat="1" ht="15" thickBot="1" x14ac:dyDescent="0.4">
      <c r="A169" s="409" t="s">
        <v>1240</v>
      </c>
      <c r="B169" s="410" t="s">
        <v>1099</v>
      </c>
      <c r="C169" s="410" t="s">
        <v>392</v>
      </c>
      <c r="D169" s="411"/>
      <c r="E169" s="410">
        <v>342</v>
      </c>
      <c r="F169" s="410">
        <v>310</v>
      </c>
      <c r="G169" s="410">
        <v>36.200000000000003</v>
      </c>
      <c r="H169" s="410">
        <v>46.5</v>
      </c>
      <c r="I169" s="410" t="s">
        <v>1180</v>
      </c>
    </row>
    <row r="170" spans="1:9" s="240" customFormat="1" ht="29" x14ac:dyDescent="0.35">
      <c r="A170" s="133" t="s">
        <v>1262</v>
      </c>
      <c r="B170" s="412" t="s">
        <v>1096</v>
      </c>
      <c r="C170" s="224" t="s">
        <v>849</v>
      </c>
      <c r="D170" s="413"/>
      <c r="E170" s="103">
        <v>140</v>
      </c>
      <c r="F170" s="103">
        <v>125</v>
      </c>
      <c r="G170" s="103" t="s">
        <v>1267</v>
      </c>
      <c r="H170" s="103">
        <v>41.4</v>
      </c>
      <c r="I170" s="103" t="s">
        <v>655</v>
      </c>
    </row>
    <row r="171" spans="1:9" s="241" customFormat="1" ht="15" thickBot="1" x14ac:dyDescent="0.4">
      <c r="A171" s="414" t="s">
        <v>1262</v>
      </c>
      <c r="B171" s="231" t="s">
        <v>148</v>
      </c>
      <c r="C171" s="231" t="s">
        <v>148</v>
      </c>
      <c r="D171" s="400">
        <v>1</v>
      </c>
      <c r="E171" s="92">
        <v>137</v>
      </c>
      <c r="F171" s="92">
        <v>120</v>
      </c>
      <c r="G171" s="92" t="s">
        <v>633</v>
      </c>
      <c r="H171" s="92">
        <v>39.4</v>
      </c>
      <c r="I171" s="92" t="s">
        <v>1200</v>
      </c>
    </row>
    <row r="172" spans="1:9" x14ac:dyDescent="0.35">
      <c r="A172" s="191" t="s">
        <v>1655</v>
      </c>
      <c r="B172" s="232" t="s">
        <v>148</v>
      </c>
      <c r="C172" s="232" t="s">
        <v>148</v>
      </c>
      <c r="D172" s="393">
        <v>1</v>
      </c>
      <c r="E172" s="83">
        <v>100</v>
      </c>
      <c r="F172" s="83">
        <v>86</v>
      </c>
      <c r="G172" s="83">
        <v>14.4</v>
      </c>
      <c r="H172" s="83">
        <v>46</v>
      </c>
      <c r="I172" s="83" t="s">
        <v>1288</v>
      </c>
    </row>
    <row r="173" spans="1:9" x14ac:dyDescent="0.35">
      <c r="A173" s="191" t="s">
        <v>1655</v>
      </c>
      <c r="B173" s="232" t="s">
        <v>1096</v>
      </c>
      <c r="C173" s="415" t="s">
        <v>849</v>
      </c>
      <c r="E173" s="83">
        <v>101</v>
      </c>
      <c r="F173" s="83">
        <v>94</v>
      </c>
      <c r="G173" s="83">
        <v>14.6</v>
      </c>
      <c r="H173" s="83">
        <v>51.5</v>
      </c>
      <c r="I173" s="83" t="s">
        <v>1289</v>
      </c>
    </row>
    <row r="174" spans="1:9" ht="15" thickBot="1" x14ac:dyDescent="0.4">
      <c r="A174" s="191" t="s">
        <v>1655</v>
      </c>
      <c r="B174" s="232" t="s">
        <v>1274</v>
      </c>
      <c r="C174" s="232" t="s">
        <v>1273</v>
      </c>
      <c r="E174" s="83">
        <v>100</v>
      </c>
      <c r="F174" s="83">
        <v>93</v>
      </c>
      <c r="G174" s="83">
        <v>14.8</v>
      </c>
      <c r="H174" s="83">
        <v>48</v>
      </c>
      <c r="I174" s="83" t="s">
        <v>1290</v>
      </c>
    </row>
    <row r="175" spans="1:9" s="240" customFormat="1" x14ac:dyDescent="0.35">
      <c r="A175" s="416" t="s">
        <v>1278</v>
      </c>
      <c r="B175" s="412" t="s">
        <v>1292</v>
      </c>
      <c r="C175" s="417" t="s">
        <v>1286</v>
      </c>
      <c r="D175" s="399"/>
      <c r="E175" s="103">
        <v>35</v>
      </c>
      <c r="F175" s="103">
        <v>29</v>
      </c>
      <c r="G175" s="103">
        <v>38.5</v>
      </c>
      <c r="H175" s="103">
        <v>42.9</v>
      </c>
      <c r="I175" s="103" t="s">
        <v>1291</v>
      </c>
    </row>
    <row r="176" spans="1:9" x14ac:dyDescent="0.35">
      <c r="A176" s="418" t="s">
        <v>1278</v>
      </c>
      <c r="B176" s="232" t="s">
        <v>1293</v>
      </c>
      <c r="C176" s="232" t="s">
        <v>1287</v>
      </c>
      <c r="E176" s="83">
        <v>35</v>
      </c>
      <c r="F176" s="83">
        <v>32</v>
      </c>
      <c r="G176" s="83">
        <v>35.200000000000003</v>
      </c>
      <c r="H176" s="83">
        <v>34.299999999999997</v>
      </c>
      <c r="I176" s="83" t="s">
        <v>704</v>
      </c>
    </row>
    <row r="177" spans="1:9" s="241" customFormat="1" ht="15" thickBot="1" x14ac:dyDescent="0.4">
      <c r="A177" s="419" t="s">
        <v>1278</v>
      </c>
      <c r="B177" s="231" t="s">
        <v>148</v>
      </c>
      <c r="C177" s="231" t="s">
        <v>148</v>
      </c>
      <c r="D177" s="400">
        <v>1</v>
      </c>
      <c r="E177" s="92">
        <v>35</v>
      </c>
      <c r="F177" s="92">
        <v>23</v>
      </c>
      <c r="G177" s="92">
        <v>30.3</v>
      </c>
      <c r="H177" s="92">
        <v>25.7</v>
      </c>
      <c r="I177" s="92" t="s">
        <v>656</v>
      </c>
    </row>
    <row r="178" spans="1:9" x14ac:dyDescent="0.35">
      <c r="A178" s="86" t="s">
        <v>1625</v>
      </c>
      <c r="B178" s="232" t="s">
        <v>148</v>
      </c>
      <c r="C178" s="232" t="s">
        <v>148</v>
      </c>
      <c r="D178" s="393">
        <v>1</v>
      </c>
      <c r="E178" s="83">
        <v>34</v>
      </c>
      <c r="F178" s="83">
        <v>25</v>
      </c>
      <c r="G178" s="83">
        <v>45.5</v>
      </c>
      <c r="H178" s="83">
        <v>38.200000000000003</v>
      </c>
      <c r="I178" s="83" t="s">
        <v>1306</v>
      </c>
    </row>
    <row r="179" spans="1:9" ht="15.5" x14ac:dyDescent="0.35">
      <c r="A179" s="86" t="s">
        <v>1625</v>
      </c>
      <c r="B179" s="352" t="s">
        <v>1302</v>
      </c>
      <c r="C179" s="232" t="s">
        <v>1304</v>
      </c>
      <c r="E179" s="83">
        <v>69</v>
      </c>
      <c r="F179" s="83">
        <v>61</v>
      </c>
      <c r="G179" s="83">
        <v>41.7</v>
      </c>
      <c r="H179" s="83">
        <v>44.9</v>
      </c>
      <c r="I179" s="83" t="s">
        <v>1307</v>
      </c>
    </row>
    <row r="180" spans="1:9" ht="15.5" x14ac:dyDescent="0.35">
      <c r="A180" s="86" t="s">
        <v>1625</v>
      </c>
      <c r="B180" s="352" t="s">
        <v>1303</v>
      </c>
      <c r="C180" s="232" t="s">
        <v>1305</v>
      </c>
      <c r="E180" s="83">
        <v>69</v>
      </c>
      <c r="F180" s="83">
        <v>58</v>
      </c>
      <c r="G180" s="83">
        <v>43.8</v>
      </c>
      <c r="H180" s="83">
        <v>46.6</v>
      </c>
      <c r="I180" s="83" t="s">
        <v>1308</v>
      </c>
    </row>
    <row r="181" spans="1:9" x14ac:dyDescent="0.35">
      <c r="A181" s="13" t="s">
        <v>1312</v>
      </c>
      <c r="B181" s="415" t="s">
        <v>148</v>
      </c>
      <c r="C181" s="232" t="s">
        <v>1318</v>
      </c>
      <c r="D181" s="393">
        <v>1</v>
      </c>
      <c r="E181" s="83">
        <v>90</v>
      </c>
      <c r="F181" s="83">
        <v>87</v>
      </c>
      <c r="G181" s="83">
        <v>36.299999999999997</v>
      </c>
      <c r="H181" s="83">
        <v>17.8</v>
      </c>
      <c r="I181" s="83" t="s">
        <v>1319</v>
      </c>
    </row>
    <row r="182" spans="1:9" x14ac:dyDescent="0.35">
      <c r="A182" s="86" t="s">
        <v>1312</v>
      </c>
      <c r="B182" s="232" t="s">
        <v>1098</v>
      </c>
      <c r="C182" s="415" t="s">
        <v>391</v>
      </c>
      <c r="E182" s="83">
        <v>91</v>
      </c>
      <c r="F182" s="83">
        <v>89</v>
      </c>
      <c r="G182" s="83">
        <v>35.9</v>
      </c>
      <c r="H182" s="83">
        <v>25.3</v>
      </c>
      <c r="I182" s="83" t="s">
        <v>1320</v>
      </c>
    </row>
    <row r="183" spans="1:9" ht="15" thickBot="1" x14ac:dyDescent="0.4">
      <c r="A183" s="86" t="s">
        <v>1312</v>
      </c>
      <c r="B183" s="232" t="s">
        <v>1099</v>
      </c>
      <c r="C183" s="232" t="s">
        <v>392</v>
      </c>
      <c r="E183" s="83">
        <v>91</v>
      </c>
      <c r="F183" s="83">
        <v>88</v>
      </c>
      <c r="G183" s="92">
        <v>34.700000000000003</v>
      </c>
      <c r="H183" s="83">
        <v>24.2</v>
      </c>
      <c r="I183" s="83" t="s">
        <v>1321</v>
      </c>
    </row>
    <row r="184" spans="1:9" x14ac:dyDescent="0.35">
      <c r="A184" s="86" t="s">
        <v>1573</v>
      </c>
      <c r="B184" s="82" t="s">
        <v>1089</v>
      </c>
      <c r="C184" s="82" t="s">
        <v>708</v>
      </c>
      <c r="E184" s="83">
        <v>362</v>
      </c>
      <c r="F184" s="83">
        <v>327</v>
      </c>
      <c r="G184" s="83">
        <v>36.6</v>
      </c>
      <c r="H184" s="83">
        <v>46.7</v>
      </c>
    </row>
    <row r="185" spans="1:9" x14ac:dyDescent="0.35">
      <c r="A185" s="86" t="s">
        <v>1573</v>
      </c>
      <c r="B185" s="232" t="s">
        <v>1056</v>
      </c>
      <c r="C185" s="232" t="s">
        <v>406</v>
      </c>
      <c r="D185" s="393">
        <v>1</v>
      </c>
      <c r="E185" s="83">
        <v>365</v>
      </c>
      <c r="F185" s="83">
        <v>334</v>
      </c>
      <c r="G185" s="83">
        <v>35.5</v>
      </c>
      <c r="H185" s="83">
        <v>44.1</v>
      </c>
    </row>
    <row r="186" spans="1:9" x14ac:dyDescent="0.35">
      <c r="A186" s="86" t="s">
        <v>1335</v>
      </c>
      <c r="B186" s="232" t="s">
        <v>148</v>
      </c>
      <c r="C186" s="232" t="s">
        <v>148</v>
      </c>
      <c r="D186" s="393">
        <v>1</v>
      </c>
      <c r="E186" s="83">
        <v>110</v>
      </c>
      <c r="F186" s="83">
        <v>50</v>
      </c>
      <c r="G186" s="83">
        <v>37.950000000000003</v>
      </c>
      <c r="H186" s="83">
        <v>54.5</v>
      </c>
      <c r="I186" s="83" t="s">
        <v>1338</v>
      </c>
    </row>
    <row r="187" spans="1:9" x14ac:dyDescent="0.35">
      <c r="A187" s="86" t="s">
        <v>1335</v>
      </c>
      <c r="B187" s="232" t="s">
        <v>1340</v>
      </c>
      <c r="C187" s="232" t="s">
        <v>1339</v>
      </c>
      <c r="E187" s="83">
        <v>109</v>
      </c>
      <c r="F187" s="83">
        <v>50</v>
      </c>
      <c r="G187" s="83">
        <v>38.83</v>
      </c>
      <c r="H187" s="83">
        <v>50.5</v>
      </c>
      <c r="I187" s="83" t="s">
        <v>1341</v>
      </c>
    </row>
    <row r="188" spans="1:9" x14ac:dyDescent="0.35">
      <c r="A188" s="86" t="s">
        <v>1866</v>
      </c>
      <c r="B188" s="232" t="s">
        <v>1870</v>
      </c>
      <c r="C188" s="232" t="s">
        <v>1353</v>
      </c>
      <c r="E188" s="83">
        <v>76</v>
      </c>
      <c r="F188" s="83">
        <v>54</v>
      </c>
      <c r="G188" s="83">
        <v>40.200000000000003</v>
      </c>
      <c r="H188" s="83">
        <v>42.1</v>
      </c>
      <c r="I188" s="83" t="s">
        <v>1350</v>
      </c>
    </row>
    <row r="189" spans="1:9" x14ac:dyDescent="0.35">
      <c r="A189" s="86" t="s">
        <v>1866</v>
      </c>
      <c r="B189" s="232" t="s">
        <v>1871</v>
      </c>
      <c r="C189" s="232" t="s">
        <v>1354</v>
      </c>
      <c r="E189" s="83">
        <v>80</v>
      </c>
      <c r="F189" s="83">
        <v>57</v>
      </c>
      <c r="G189" s="83">
        <v>36.6</v>
      </c>
      <c r="H189" s="83">
        <v>56.4</v>
      </c>
      <c r="I189" s="83" t="s">
        <v>1351</v>
      </c>
    </row>
    <row r="190" spans="1:9" x14ac:dyDescent="0.35">
      <c r="A190" s="86" t="s">
        <v>1866</v>
      </c>
      <c r="B190" s="232" t="s">
        <v>1872</v>
      </c>
      <c r="C190" s="232" t="s">
        <v>1355</v>
      </c>
      <c r="E190" s="83">
        <v>77</v>
      </c>
      <c r="F190" s="83">
        <v>42</v>
      </c>
      <c r="G190" s="83">
        <v>38.4</v>
      </c>
      <c r="H190" s="83">
        <v>53.2</v>
      </c>
      <c r="I190" s="83" t="s">
        <v>1352</v>
      </c>
    </row>
    <row r="191" spans="1:9" x14ac:dyDescent="0.35">
      <c r="A191" s="86" t="s">
        <v>1866</v>
      </c>
      <c r="B191" s="232" t="s">
        <v>148</v>
      </c>
      <c r="C191" s="232" t="s">
        <v>148</v>
      </c>
      <c r="D191" s="393">
        <v>1</v>
      </c>
      <c r="E191" s="83">
        <v>80</v>
      </c>
      <c r="F191" s="83">
        <v>50</v>
      </c>
      <c r="G191" s="83">
        <v>36.299999999999997</v>
      </c>
      <c r="H191" s="83">
        <v>55</v>
      </c>
      <c r="I191" s="83" t="s">
        <v>1359</v>
      </c>
    </row>
    <row r="192" spans="1:9" x14ac:dyDescent="0.35">
      <c r="A192" s="86" t="s">
        <v>1867</v>
      </c>
      <c r="B192" s="232" t="s">
        <v>1873</v>
      </c>
      <c r="C192" s="232" t="s">
        <v>1356</v>
      </c>
      <c r="E192" s="83">
        <v>75</v>
      </c>
      <c r="F192" s="83">
        <v>61</v>
      </c>
      <c r="G192" s="83">
        <v>37.9</v>
      </c>
      <c r="H192" s="83">
        <v>49.3</v>
      </c>
      <c r="I192" s="83" t="s">
        <v>1357</v>
      </c>
    </row>
    <row r="193" spans="1:9" x14ac:dyDescent="0.35">
      <c r="A193" s="86" t="s">
        <v>1867</v>
      </c>
      <c r="B193" s="232" t="s">
        <v>148</v>
      </c>
      <c r="C193" s="232" t="s">
        <v>148</v>
      </c>
      <c r="D193" s="393">
        <v>1</v>
      </c>
      <c r="E193" s="83">
        <v>74</v>
      </c>
      <c r="F193" s="83">
        <v>60</v>
      </c>
      <c r="G193" s="83">
        <v>36</v>
      </c>
      <c r="H193" s="83">
        <v>63.5</v>
      </c>
      <c r="I193" s="83" t="s">
        <v>1358</v>
      </c>
    </row>
    <row r="194" spans="1:9" x14ac:dyDescent="0.35">
      <c r="A194" s="86" t="s">
        <v>1627</v>
      </c>
      <c r="B194" s="232" t="s">
        <v>1629</v>
      </c>
      <c r="C194" s="232" t="s">
        <v>1365</v>
      </c>
      <c r="E194" s="83">
        <v>54</v>
      </c>
      <c r="F194" s="83">
        <v>42</v>
      </c>
      <c r="G194" s="83">
        <v>37.4</v>
      </c>
      <c r="H194" s="83">
        <v>31.5</v>
      </c>
      <c r="I194" s="83" t="s">
        <v>1369</v>
      </c>
    </row>
    <row r="195" spans="1:9" x14ac:dyDescent="0.35">
      <c r="A195" s="86" t="s">
        <v>1627</v>
      </c>
      <c r="B195" s="232" t="s">
        <v>1630</v>
      </c>
      <c r="C195" s="232" t="s">
        <v>1366</v>
      </c>
      <c r="E195" s="83">
        <v>53</v>
      </c>
      <c r="F195" s="83">
        <v>41</v>
      </c>
      <c r="G195" s="83">
        <v>38.9</v>
      </c>
      <c r="H195" s="83">
        <v>41.5</v>
      </c>
      <c r="I195" s="13" t="s">
        <v>1370</v>
      </c>
    </row>
    <row r="196" spans="1:9" x14ac:dyDescent="0.35">
      <c r="A196" s="86" t="s">
        <v>1627</v>
      </c>
      <c r="B196" s="232" t="s">
        <v>1631</v>
      </c>
      <c r="C196" s="232" t="s">
        <v>1367</v>
      </c>
      <c r="E196" s="83">
        <v>55</v>
      </c>
      <c r="F196" s="83">
        <v>42</v>
      </c>
      <c r="G196" s="83">
        <v>37.5</v>
      </c>
      <c r="H196" s="83">
        <v>43.6</v>
      </c>
      <c r="I196" s="83" t="s">
        <v>1371</v>
      </c>
    </row>
    <row r="197" spans="1:9" x14ac:dyDescent="0.35">
      <c r="A197" s="86" t="s">
        <v>1627</v>
      </c>
      <c r="B197" s="232" t="s">
        <v>1632</v>
      </c>
      <c r="C197" s="232" t="s">
        <v>1368</v>
      </c>
      <c r="E197" s="83">
        <v>54</v>
      </c>
      <c r="F197" s="83">
        <v>46</v>
      </c>
      <c r="G197" s="83">
        <v>37.299999999999997</v>
      </c>
      <c r="H197" s="83">
        <v>44.4</v>
      </c>
      <c r="I197" s="83" t="s">
        <v>1372</v>
      </c>
    </row>
    <row r="198" spans="1:9" x14ac:dyDescent="0.35">
      <c r="A198" s="86" t="s">
        <v>1627</v>
      </c>
      <c r="B198" s="232" t="s">
        <v>148</v>
      </c>
      <c r="C198" s="232" t="s">
        <v>148</v>
      </c>
      <c r="D198" s="393">
        <v>1</v>
      </c>
      <c r="E198" s="83">
        <v>57</v>
      </c>
      <c r="F198" s="83">
        <v>34</v>
      </c>
      <c r="G198" s="83">
        <v>38.700000000000003</v>
      </c>
      <c r="H198" s="83">
        <v>45.6</v>
      </c>
      <c r="I198" s="83" t="s">
        <v>1206</v>
      </c>
    </row>
    <row r="199" spans="1:9" x14ac:dyDescent="0.35">
      <c r="A199" s="86" t="s">
        <v>1717</v>
      </c>
      <c r="B199" s="232" t="s">
        <v>1056</v>
      </c>
      <c r="C199" s="232" t="s">
        <v>406</v>
      </c>
      <c r="E199" s="83">
        <v>127</v>
      </c>
      <c r="I199" s="83" t="s">
        <v>817</v>
      </c>
    </row>
    <row r="200" spans="1:9" x14ac:dyDescent="0.35">
      <c r="A200" s="86" t="s">
        <v>1717</v>
      </c>
      <c r="B200" s="232" t="s">
        <v>148</v>
      </c>
      <c r="C200" s="232" t="s">
        <v>148</v>
      </c>
      <c r="D200" s="393">
        <v>1</v>
      </c>
      <c r="E200" s="83">
        <v>61</v>
      </c>
      <c r="I200" s="83" t="s">
        <v>1382</v>
      </c>
    </row>
    <row r="201" spans="1:9" x14ac:dyDescent="0.35">
      <c r="A201" s="86" t="s">
        <v>1387</v>
      </c>
      <c r="B201" s="232" t="s">
        <v>1393</v>
      </c>
      <c r="C201" s="232" t="s">
        <v>1392</v>
      </c>
      <c r="E201" s="83">
        <v>83</v>
      </c>
      <c r="F201" s="83">
        <v>82</v>
      </c>
      <c r="G201" s="83">
        <v>4.2</v>
      </c>
      <c r="H201" s="83">
        <v>47</v>
      </c>
      <c r="I201" s="83" t="s">
        <v>1577</v>
      </c>
    </row>
    <row r="202" spans="1:9" x14ac:dyDescent="0.35">
      <c r="A202" s="86" t="s">
        <v>1387</v>
      </c>
      <c r="B202" s="232" t="s">
        <v>148</v>
      </c>
      <c r="C202" s="232" t="s">
        <v>148</v>
      </c>
      <c r="D202" s="393">
        <v>1</v>
      </c>
      <c r="E202" s="83">
        <v>79</v>
      </c>
      <c r="F202" s="83">
        <v>75</v>
      </c>
      <c r="G202" s="83">
        <v>3.8</v>
      </c>
      <c r="H202" s="83">
        <v>30</v>
      </c>
      <c r="I202" s="83" t="s">
        <v>1578</v>
      </c>
    </row>
    <row r="203" spans="1:9" x14ac:dyDescent="0.35">
      <c r="A203" s="86" t="s">
        <v>1912</v>
      </c>
      <c r="B203" s="232" t="s">
        <v>1422</v>
      </c>
      <c r="C203" s="232" t="s">
        <v>1400</v>
      </c>
      <c r="E203" s="83">
        <v>20</v>
      </c>
      <c r="F203" s="83">
        <v>5</v>
      </c>
      <c r="G203" s="83">
        <v>38.9</v>
      </c>
      <c r="H203" s="83">
        <v>60</v>
      </c>
    </row>
    <row r="204" spans="1:9" x14ac:dyDescent="0.35">
      <c r="A204" s="86" t="s">
        <v>1912</v>
      </c>
      <c r="B204" s="232" t="s">
        <v>148</v>
      </c>
      <c r="C204" s="232" t="s">
        <v>148</v>
      </c>
      <c r="D204" s="393">
        <v>1</v>
      </c>
      <c r="E204" s="83">
        <v>8</v>
      </c>
      <c r="F204" s="83">
        <v>1</v>
      </c>
      <c r="G204" s="83">
        <v>41</v>
      </c>
      <c r="H204" s="83">
        <v>87.5</v>
      </c>
    </row>
    <row r="205" spans="1:9" x14ac:dyDescent="0.35">
      <c r="A205" s="86" t="s">
        <v>1537</v>
      </c>
      <c r="B205" s="232" t="s">
        <v>1096</v>
      </c>
      <c r="C205" s="232" t="s">
        <v>849</v>
      </c>
      <c r="E205" s="83">
        <v>53</v>
      </c>
      <c r="F205" s="83">
        <v>53</v>
      </c>
      <c r="G205" s="83">
        <v>39</v>
      </c>
      <c r="H205" s="83">
        <v>32.1</v>
      </c>
      <c r="I205" s="83" t="s">
        <v>1542</v>
      </c>
    </row>
    <row r="206" spans="1:9" x14ac:dyDescent="0.35">
      <c r="A206" s="86" t="s">
        <v>1537</v>
      </c>
      <c r="B206" s="232" t="s">
        <v>148</v>
      </c>
      <c r="C206" s="232" t="s">
        <v>148</v>
      </c>
      <c r="D206" s="393">
        <v>1</v>
      </c>
      <c r="E206" s="83">
        <v>53</v>
      </c>
      <c r="F206" s="83">
        <v>53</v>
      </c>
      <c r="G206" s="83">
        <v>38.9</v>
      </c>
      <c r="H206" s="83">
        <v>41.5</v>
      </c>
      <c r="I206" s="83" t="s">
        <v>1543</v>
      </c>
    </row>
    <row r="207" spans="1:9" x14ac:dyDescent="0.35">
      <c r="A207" s="86" t="s">
        <v>1658</v>
      </c>
      <c r="B207" s="232" t="s">
        <v>1623</v>
      </c>
      <c r="C207" s="232" t="s">
        <v>1621</v>
      </c>
      <c r="E207" s="83">
        <v>47</v>
      </c>
      <c r="F207" s="83">
        <v>34</v>
      </c>
      <c r="G207" s="83">
        <v>41.7</v>
      </c>
      <c r="H207" s="83">
        <v>63.829787234042556</v>
      </c>
    </row>
    <row r="208" spans="1:9" x14ac:dyDescent="0.35">
      <c r="A208" s="86" t="s">
        <v>1658</v>
      </c>
      <c r="B208" s="232" t="s">
        <v>1624</v>
      </c>
      <c r="C208" s="232" t="s">
        <v>1622</v>
      </c>
      <c r="E208" s="83">
        <v>47</v>
      </c>
      <c r="F208" s="83">
        <v>36</v>
      </c>
      <c r="G208" s="83">
        <v>41.8</v>
      </c>
      <c r="H208" s="83">
        <v>59.574468085106382</v>
      </c>
    </row>
    <row r="209" spans="1:9" x14ac:dyDescent="0.35">
      <c r="A209" s="86" t="s">
        <v>1658</v>
      </c>
      <c r="B209" s="232" t="s">
        <v>148</v>
      </c>
      <c r="C209" s="232" t="s">
        <v>148</v>
      </c>
      <c r="D209" s="393">
        <v>1</v>
      </c>
      <c r="E209" s="83">
        <v>46</v>
      </c>
      <c r="F209" s="83">
        <v>37</v>
      </c>
      <c r="G209" s="83">
        <v>44.1</v>
      </c>
      <c r="H209" s="83">
        <v>58.695652173913047</v>
      </c>
    </row>
    <row r="210" spans="1:9" x14ac:dyDescent="0.35">
      <c r="A210" s="86" t="s">
        <v>1637</v>
      </c>
      <c r="B210" s="232" t="s">
        <v>148</v>
      </c>
      <c r="C210" s="232" t="s">
        <v>148</v>
      </c>
      <c r="D210" s="393">
        <v>1</v>
      </c>
      <c r="E210" s="83">
        <v>149</v>
      </c>
      <c r="F210" s="83">
        <v>133</v>
      </c>
      <c r="G210" s="83">
        <v>35.6</v>
      </c>
      <c r="H210" s="83">
        <f>79/150*100</f>
        <v>52.666666666666664</v>
      </c>
    </row>
    <row r="211" spans="1:9" ht="29" x14ac:dyDescent="0.35">
      <c r="A211" s="86" t="s">
        <v>1637</v>
      </c>
      <c r="B211" s="230" t="s">
        <v>1073</v>
      </c>
      <c r="C211" s="230" t="s">
        <v>1654</v>
      </c>
      <c r="E211" s="83">
        <v>295</v>
      </c>
      <c r="F211" s="83">
        <v>273</v>
      </c>
      <c r="G211" s="83">
        <v>36.5</v>
      </c>
      <c r="H211" s="83">
        <f>147/295*100</f>
        <v>49.830508474576277</v>
      </c>
    </row>
    <row r="212" spans="1:9" x14ac:dyDescent="0.35">
      <c r="A212" s="86" t="s">
        <v>1638</v>
      </c>
      <c r="B212" s="232" t="s">
        <v>148</v>
      </c>
      <c r="C212" s="232" t="s">
        <v>148</v>
      </c>
      <c r="D212" s="393">
        <v>1</v>
      </c>
      <c r="E212" s="83">
        <v>141</v>
      </c>
      <c r="F212" s="83">
        <v>120</v>
      </c>
      <c r="H212" s="83">
        <f>73/141*100</f>
        <v>51.773049645390067</v>
      </c>
    </row>
    <row r="213" spans="1:9" ht="29" x14ac:dyDescent="0.35">
      <c r="A213" s="86" t="s">
        <v>1638</v>
      </c>
      <c r="B213" s="230" t="s">
        <v>1073</v>
      </c>
      <c r="C213" s="230" t="s">
        <v>1654</v>
      </c>
      <c r="E213" s="83">
        <v>282</v>
      </c>
      <c r="F213" s="83">
        <v>263</v>
      </c>
      <c r="H213" s="83">
        <f>141/283*100</f>
        <v>49.823321554770317</v>
      </c>
    </row>
    <row r="214" spans="1:9" x14ac:dyDescent="0.35">
      <c r="A214" s="86" t="s">
        <v>1585</v>
      </c>
      <c r="B214" s="232" t="s">
        <v>1588</v>
      </c>
      <c r="C214" s="232" t="s">
        <v>1591</v>
      </c>
      <c r="E214" s="83">
        <v>61</v>
      </c>
      <c r="F214" s="83">
        <v>51</v>
      </c>
      <c r="G214" s="83" t="s">
        <v>1594</v>
      </c>
      <c r="H214" s="83">
        <v>55.7</v>
      </c>
    </row>
    <row r="215" spans="1:9" x14ac:dyDescent="0.35">
      <c r="A215" s="86" t="s">
        <v>1585</v>
      </c>
      <c r="B215" s="232" t="s">
        <v>1590</v>
      </c>
      <c r="C215" s="232" t="s">
        <v>1592</v>
      </c>
      <c r="E215" s="83">
        <v>59</v>
      </c>
      <c r="F215" s="83">
        <v>54</v>
      </c>
      <c r="G215" s="83" t="s">
        <v>1595</v>
      </c>
      <c r="H215" s="83">
        <v>47.5</v>
      </c>
    </row>
    <row r="216" spans="1:9" x14ac:dyDescent="0.35">
      <c r="A216" s="86" t="s">
        <v>1585</v>
      </c>
      <c r="B216" s="232" t="s">
        <v>1589</v>
      </c>
      <c r="C216" s="232" t="s">
        <v>1593</v>
      </c>
      <c r="E216" s="83">
        <v>63</v>
      </c>
      <c r="F216" s="83">
        <v>49</v>
      </c>
      <c r="G216" s="83" t="s">
        <v>628</v>
      </c>
      <c r="H216" s="83">
        <v>50.8</v>
      </c>
    </row>
    <row r="217" spans="1:9" x14ac:dyDescent="0.35">
      <c r="A217" s="86" t="s">
        <v>1585</v>
      </c>
      <c r="B217" s="232" t="s">
        <v>148</v>
      </c>
      <c r="C217" s="232" t="s">
        <v>148</v>
      </c>
      <c r="D217" s="393">
        <v>1</v>
      </c>
      <c r="E217" s="83">
        <v>60</v>
      </c>
      <c r="F217" s="83">
        <v>49</v>
      </c>
      <c r="G217" s="83" t="s">
        <v>647</v>
      </c>
      <c r="H217" s="83">
        <v>51.7</v>
      </c>
    </row>
    <row r="218" spans="1:9" x14ac:dyDescent="0.35">
      <c r="A218" s="86" t="s">
        <v>1599</v>
      </c>
      <c r="B218" s="232" t="s">
        <v>1604</v>
      </c>
      <c r="C218" s="232" t="s">
        <v>1605</v>
      </c>
      <c r="E218" s="83">
        <v>33</v>
      </c>
      <c r="F218" s="83">
        <v>22</v>
      </c>
      <c r="G218" s="83">
        <v>43.2</v>
      </c>
      <c r="H218" s="83">
        <v>45.5</v>
      </c>
      <c r="I218" s="83" t="s">
        <v>1680</v>
      </c>
    </row>
    <row r="219" spans="1:9" x14ac:dyDescent="0.35">
      <c r="A219" s="86" t="s">
        <v>1599</v>
      </c>
      <c r="B219" s="232" t="s">
        <v>148</v>
      </c>
      <c r="C219" s="232" t="s">
        <v>148</v>
      </c>
      <c r="D219" s="393">
        <v>1</v>
      </c>
      <c r="E219" s="83">
        <v>18</v>
      </c>
      <c r="F219" s="83">
        <v>8</v>
      </c>
      <c r="G219" s="83">
        <v>32.4</v>
      </c>
      <c r="H219" s="83">
        <v>61.1</v>
      </c>
      <c r="I219" s="83" t="s">
        <v>661</v>
      </c>
    </row>
    <row r="220" spans="1:9" x14ac:dyDescent="0.35">
      <c r="A220" s="86" t="s">
        <v>1875</v>
      </c>
      <c r="B220" s="232" t="s">
        <v>1088</v>
      </c>
      <c r="C220" s="232" t="s">
        <v>1128</v>
      </c>
      <c r="E220" s="83">
        <v>16</v>
      </c>
      <c r="F220" s="83">
        <v>14</v>
      </c>
      <c r="G220" s="83">
        <v>46.6</v>
      </c>
      <c r="H220" s="83">
        <v>68.8</v>
      </c>
    </row>
    <row r="221" spans="1:9" x14ac:dyDescent="0.35">
      <c r="A221" s="86" t="s">
        <v>1875</v>
      </c>
      <c r="B221" s="232" t="s">
        <v>1089</v>
      </c>
      <c r="C221" s="232" t="s">
        <v>708</v>
      </c>
      <c r="E221" s="83">
        <v>14</v>
      </c>
      <c r="F221" s="83">
        <v>13</v>
      </c>
      <c r="G221" s="83">
        <v>41.4</v>
      </c>
      <c r="H221" s="83">
        <v>50</v>
      </c>
    </row>
    <row r="222" spans="1:9" x14ac:dyDescent="0.35">
      <c r="A222" s="86" t="s">
        <v>1875</v>
      </c>
      <c r="B222" s="232" t="s">
        <v>148</v>
      </c>
      <c r="C222" s="232" t="s">
        <v>148</v>
      </c>
      <c r="D222" s="393">
        <v>1</v>
      </c>
      <c r="E222" s="83">
        <v>16</v>
      </c>
      <c r="F222" s="83">
        <v>14</v>
      </c>
      <c r="G222" s="83">
        <v>38.9</v>
      </c>
      <c r="H222" s="83">
        <v>18.8</v>
      </c>
    </row>
    <row r="223" spans="1:9" x14ac:dyDescent="0.35">
      <c r="A223" s="86" t="s">
        <v>1614</v>
      </c>
      <c r="B223" s="232" t="s">
        <v>148</v>
      </c>
      <c r="C223" s="232" t="s">
        <v>148</v>
      </c>
      <c r="D223" s="393">
        <v>1</v>
      </c>
      <c r="E223" s="83">
        <v>66</v>
      </c>
      <c r="F223" s="83">
        <v>58</v>
      </c>
      <c r="G223" s="83">
        <v>36.700000000000003</v>
      </c>
      <c r="H223" s="83">
        <v>50</v>
      </c>
      <c r="I223" s="83" t="s">
        <v>661</v>
      </c>
    </row>
    <row r="224" spans="1:9" ht="29" x14ac:dyDescent="0.35">
      <c r="A224" s="86" t="s">
        <v>1614</v>
      </c>
      <c r="B224" s="230" t="s">
        <v>1073</v>
      </c>
      <c r="C224" s="230" t="s">
        <v>1654</v>
      </c>
      <c r="E224" s="83">
        <v>145</v>
      </c>
      <c r="F224" s="83">
        <v>134</v>
      </c>
      <c r="G224" s="83">
        <v>37.5</v>
      </c>
      <c r="H224" s="83">
        <v>48.3</v>
      </c>
      <c r="I224" s="83" t="s">
        <v>1116</v>
      </c>
    </row>
    <row r="225" spans="1:10" x14ac:dyDescent="0.35">
      <c r="A225" s="86" t="s">
        <v>1662</v>
      </c>
      <c r="B225" s="232" t="s">
        <v>148</v>
      </c>
      <c r="C225" s="232" t="s">
        <v>148</v>
      </c>
      <c r="D225" s="393">
        <v>1</v>
      </c>
      <c r="E225" s="83">
        <v>32</v>
      </c>
      <c r="F225" s="83">
        <v>23</v>
      </c>
      <c r="G225" s="83">
        <v>39.299999999999997</v>
      </c>
      <c r="H225" s="83">
        <v>62.5</v>
      </c>
    </row>
    <row r="226" spans="1:10" x14ac:dyDescent="0.35">
      <c r="A226" s="86" t="s">
        <v>1662</v>
      </c>
      <c r="B226" s="232" t="s">
        <v>1663</v>
      </c>
      <c r="C226" s="232" t="s">
        <v>1664</v>
      </c>
      <c r="E226" s="83">
        <v>33</v>
      </c>
      <c r="F226" s="83">
        <v>26</v>
      </c>
      <c r="G226" s="83">
        <v>39.700000000000003</v>
      </c>
      <c r="H226" s="83">
        <v>60.6</v>
      </c>
    </row>
    <row r="227" spans="1:10" x14ac:dyDescent="0.35">
      <c r="A227" s="86" t="s">
        <v>1668</v>
      </c>
      <c r="B227" s="232" t="s">
        <v>148</v>
      </c>
      <c r="C227" s="232" t="s">
        <v>148</v>
      </c>
      <c r="D227" s="393">
        <v>1</v>
      </c>
      <c r="E227" s="83">
        <v>60</v>
      </c>
      <c r="F227" s="83">
        <v>41</v>
      </c>
      <c r="G227" s="83">
        <v>39.5</v>
      </c>
      <c r="H227" s="83">
        <v>48.3</v>
      </c>
      <c r="I227" s="83" t="s">
        <v>1118</v>
      </c>
    </row>
    <row r="228" spans="1:10" x14ac:dyDescent="0.35">
      <c r="A228" s="86" t="s">
        <v>1668</v>
      </c>
      <c r="B228" s="232" t="s">
        <v>1672</v>
      </c>
      <c r="C228" s="232" t="s">
        <v>1676</v>
      </c>
      <c r="E228" s="83">
        <v>61</v>
      </c>
      <c r="F228" s="83">
        <v>36</v>
      </c>
      <c r="G228" s="83">
        <v>40.1</v>
      </c>
      <c r="H228" s="83">
        <v>41</v>
      </c>
      <c r="I228" s="83" t="s">
        <v>1681</v>
      </c>
    </row>
    <row r="229" spans="1:10" x14ac:dyDescent="0.35">
      <c r="A229" s="86" t="s">
        <v>1668</v>
      </c>
      <c r="B229" s="232" t="s">
        <v>1673</v>
      </c>
      <c r="C229" s="232" t="s">
        <v>1677</v>
      </c>
      <c r="E229" s="83">
        <v>59</v>
      </c>
      <c r="F229" s="83">
        <v>39</v>
      </c>
      <c r="G229" s="83">
        <v>39.700000000000003</v>
      </c>
      <c r="H229" s="83">
        <v>61</v>
      </c>
      <c r="I229" s="83" t="s">
        <v>662</v>
      </c>
    </row>
    <row r="230" spans="1:10" x14ac:dyDescent="0.35">
      <c r="A230" s="86" t="s">
        <v>1668</v>
      </c>
      <c r="B230" s="232" t="s">
        <v>1674</v>
      </c>
      <c r="C230" s="232" t="s">
        <v>1678</v>
      </c>
      <c r="E230" s="83">
        <v>60</v>
      </c>
      <c r="F230" s="83">
        <v>40</v>
      </c>
      <c r="G230" s="83">
        <v>38.9</v>
      </c>
      <c r="H230" s="83">
        <v>40</v>
      </c>
      <c r="I230" s="83" t="s">
        <v>623</v>
      </c>
    </row>
    <row r="231" spans="1:10" x14ac:dyDescent="0.35">
      <c r="A231" s="86" t="s">
        <v>1668</v>
      </c>
      <c r="B231" s="232" t="s">
        <v>1675</v>
      </c>
      <c r="C231" s="232" t="s">
        <v>1679</v>
      </c>
      <c r="E231" s="83">
        <v>60</v>
      </c>
      <c r="F231" s="83">
        <v>37</v>
      </c>
      <c r="G231" s="83">
        <v>37.1</v>
      </c>
      <c r="H231" s="83">
        <v>53.3</v>
      </c>
      <c r="I231" s="83" t="s">
        <v>1257</v>
      </c>
    </row>
    <row r="232" spans="1:10" x14ac:dyDescent="0.35">
      <c r="A232" s="86" t="s">
        <v>1686</v>
      </c>
      <c r="B232" s="232" t="s">
        <v>148</v>
      </c>
      <c r="C232" s="232" t="s">
        <v>148</v>
      </c>
      <c r="D232" s="393">
        <v>1</v>
      </c>
      <c r="E232" s="83">
        <v>122</v>
      </c>
      <c r="F232" s="83">
        <v>115</v>
      </c>
      <c r="G232" s="83">
        <v>11.8</v>
      </c>
      <c r="H232" s="83">
        <v>52.5</v>
      </c>
      <c r="I232" s="83" t="s">
        <v>1117</v>
      </c>
    </row>
    <row r="233" spans="1:10" x14ac:dyDescent="0.35">
      <c r="A233" s="86" t="s">
        <v>1686</v>
      </c>
      <c r="B233" s="232" t="s">
        <v>1692</v>
      </c>
      <c r="C233" s="232" t="s">
        <v>1693</v>
      </c>
      <c r="E233" s="83">
        <v>121</v>
      </c>
      <c r="F233" s="83">
        <v>116</v>
      </c>
      <c r="G233" s="83">
        <v>12.4</v>
      </c>
      <c r="H233" s="83">
        <v>51.2</v>
      </c>
      <c r="I233" s="83" t="s">
        <v>1118</v>
      </c>
    </row>
    <row r="234" spans="1:10" x14ac:dyDescent="0.35">
      <c r="A234" s="86" t="s">
        <v>1686</v>
      </c>
      <c r="B234" s="232" t="s">
        <v>1694</v>
      </c>
      <c r="C234" s="232" t="s">
        <v>1695</v>
      </c>
      <c r="E234" s="83">
        <v>120</v>
      </c>
      <c r="F234" s="83">
        <v>117</v>
      </c>
      <c r="G234" s="83">
        <v>11.8</v>
      </c>
      <c r="H234" s="83">
        <v>52.5</v>
      </c>
      <c r="I234" s="83" t="s">
        <v>1698</v>
      </c>
    </row>
    <row r="235" spans="1:10" ht="15" thickBot="1" x14ac:dyDescent="0.4">
      <c r="A235" s="86" t="s">
        <v>1686</v>
      </c>
      <c r="B235" s="231" t="s">
        <v>1696</v>
      </c>
      <c r="C235" s="231" t="s">
        <v>1697</v>
      </c>
      <c r="E235" s="83">
        <v>120</v>
      </c>
      <c r="F235" s="83">
        <v>119</v>
      </c>
      <c r="G235" s="83">
        <v>11.9</v>
      </c>
      <c r="H235" s="83">
        <v>44.2</v>
      </c>
      <c r="I235" s="83" t="s">
        <v>1699</v>
      </c>
    </row>
    <row r="236" spans="1:10" x14ac:dyDescent="0.35">
      <c r="A236" s="116" t="s">
        <v>1708</v>
      </c>
      <c r="B236" s="232" t="s">
        <v>1098</v>
      </c>
      <c r="C236" s="232" t="s">
        <v>391</v>
      </c>
      <c r="E236" s="83">
        <f>64-42</f>
        <v>22</v>
      </c>
      <c r="J236" s="13" t="s">
        <v>1709</v>
      </c>
    </row>
    <row r="237" spans="1:10" x14ac:dyDescent="0.35">
      <c r="A237" s="116" t="s">
        <v>1708</v>
      </c>
      <c r="B237" s="232" t="s">
        <v>1099</v>
      </c>
      <c r="C237" s="232" t="s">
        <v>392</v>
      </c>
      <c r="E237" s="83">
        <f>64-42</f>
        <v>22</v>
      </c>
    </row>
    <row r="238" spans="1:10" ht="15" thickBot="1" x14ac:dyDescent="0.4">
      <c r="A238" s="116" t="s">
        <v>1708</v>
      </c>
      <c r="B238" s="231" t="s">
        <v>148</v>
      </c>
      <c r="C238" s="231" t="s">
        <v>148</v>
      </c>
      <c r="D238" s="393">
        <v>1</v>
      </c>
      <c r="E238" s="83">
        <f>61-40</f>
        <v>21</v>
      </c>
    </row>
    <row r="239" spans="1:10" x14ac:dyDescent="0.35">
      <c r="A239" s="116" t="s">
        <v>1710</v>
      </c>
      <c r="B239" s="232" t="s">
        <v>1098</v>
      </c>
      <c r="C239" s="232" t="s">
        <v>391</v>
      </c>
      <c r="E239" s="83">
        <f>58-33</f>
        <v>25</v>
      </c>
      <c r="J239" s="13" t="s">
        <v>1709</v>
      </c>
    </row>
    <row r="240" spans="1:10" x14ac:dyDescent="0.35">
      <c r="A240" s="116" t="s">
        <v>1710</v>
      </c>
      <c r="B240" s="232" t="s">
        <v>1099</v>
      </c>
      <c r="C240" s="232" t="s">
        <v>392</v>
      </c>
      <c r="E240" s="83">
        <f>62-35</f>
        <v>27</v>
      </c>
    </row>
    <row r="241" spans="1:12" ht="15" thickBot="1" x14ac:dyDescent="0.4">
      <c r="A241" s="356" t="s">
        <v>1710</v>
      </c>
      <c r="B241" s="231" t="s">
        <v>148</v>
      </c>
      <c r="C241" s="231" t="s">
        <v>148</v>
      </c>
      <c r="D241" s="393">
        <v>1</v>
      </c>
      <c r="E241" s="83">
        <f>60-36</f>
        <v>24</v>
      </c>
    </row>
    <row r="242" spans="1:12" x14ac:dyDescent="0.35">
      <c r="A242" s="116" t="s">
        <v>1711</v>
      </c>
      <c r="B242" s="232" t="s">
        <v>1098</v>
      </c>
      <c r="C242" s="232" t="s">
        <v>391</v>
      </c>
      <c r="E242" s="83">
        <f>60-39</f>
        <v>21</v>
      </c>
      <c r="H242" s="83" t="s">
        <v>1904</v>
      </c>
      <c r="I242" s="83" t="s">
        <v>1905</v>
      </c>
      <c r="J242" s="13" t="s">
        <v>1906</v>
      </c>
      <c r="K242" s="13" t="s">
        <v>1907</v>
      </c>
      <c r="L242" s="13" t="s">
        <v>1908</v>
      </c>
    </row>
    <row r="243" spans="1:12" x14ac:dyDescent="0.35">
      <c r="A243" s="116" t="s">
        <v>1711</v>
      </c>
      <c r="B243" s="232" t="s">
        <v>1099</v>
      </c>
      <c r="C243" s="232" t="s">
        <v>392</v>
      </c>
      <c r="E243" s="83">
        <f>60-37</f>
        <v>23</v>
      </c>
      <c r="H243" s="83" t="s">
        <v>1909</v>
      </c>
      <c r="I243" s="83" t="s">
        <v>1910</v>
      </c>
      <c r="J243" s="451">
        <v>0.48749999999999999</v>
      </c>
      <c r="K243" s="13" t="s">
        <v>1911</v>
      </c>
    </row>
    <row r="244" spans="1:12" ht="15" thickBot="1" x14ac:dyDescent="0.4">
      <c r="A244" s="116" t="s">
        <v>1711</v>
      </c>
      <c r="B244" s="231" t="s">
        <v>148</v>
      </c>
      <c r="C244" s="231" t="s">
        <v>148</v>
      </c>
      <c r="D244" s="393">
        <v>1</v>
      </c>
      <c r="E244" s="83">
        <f>63-40</f>
        <v>23</v>
      </c>
    </row>
    <row r="245" spans="1:12" x14ac:dyDescent="0.35">
      <c r="A245" t="s">
        <v>1723</v>
      </c>
      <c r="B245" t="s">
        <v>148</v>
      </c>
      <c r="C245" t="s">
        <v>148</v>
      </c>
      <c r="D245">
        <v>1</v>
      </c>
      <c r="E245">
        <v>56</v>
      </c>
      <c r="F245">
        <v>42</v>
      </c>
      <c r="G245">
        <v>32.299999999999997</v>
      </c>
      <c r="H245">
        <v>48.2</v>
      </c>
      <c r="I245" t="s">
        <v>1733</v>
      </c>
    </row>
    <row r="246" spans="1:12" x14ac:dyDescent="0.35">
      <c r="A246" t="s">
        <v>1723</v>
      </c>
      <c r="B246" t="s">
        <v>1725</v>
      </c>
      <c r="C246" t="s">
        <v>1728</v>
      </c>
      <c r="D246"/>
      <c r="E246">
        <v>19</v>
      </c>
      <c r="F246">
        <v>16</v>
      </c>
      <c r="G246">
        <v>28.7</v>
      </c>
      <c r="H246">
        <v>42.1</v>
      </c>
      <c r="I246" t="s">
        <v>1732</v>
      </c>
    </row>
    <row r="247" spans="1:12" x14ac:dyDescent="0.35">
      <c r="A247" t="s">
        <v>1723</v>
      </c>
      <c r="B247" t="s">
        <v>1726</v>
      </c>
      <c r="C247" t="s">
        <v>1730</v>
      </c>
      <c r="D247"/>
      <c r="E247">
        <v>18</v>
      </c>
      <c r="F247">
        <v>13</v>
      </c>
      <c r="G247">
        <v>37.9</v>
      </c>
      <c r="H247">
        <v>38.9</v>
      </c>
      <c r="I247" t="s">
        <v>1731</v>
      </c>
    </row>
    <row r="248" spans="1:12" x14ac:dyDescent="0.35">
      <c r="A248" t="s">
        <v>1723</v>
      </c>
      <c r="B248" t="s">
        <v>1727</v>
      </c>
      <c r="C248" t="s">
        <v>1729</v>
      </c>
      <c r="D248"/>
      <c r="E248">
        <v>55</v>
      </c>
      <c r="F248">
        <v>42</v>
      </c>
      <c r="G248">
        <v>34.6</v>
      </c>
      <c r="H248">
        <v>45.5</v>
      </c>
      <c r="I248" t="s">
        <v>1543</v>
      </c>
    </row>
    <row r="249" spans="1:12" x14ac:dyDescent="0.35">
      <c r="A249" t="s">
        <v>1738</v>
      </c>
      <c r="B249" t="s">
        <v>1047</v>
      </c>
      <c r="C249" t="s">
        <v>1747</v>
      </c>
      <c r="D249">
        <v>1</v>
      </c>
      <c r="E249">
        <v>51</v>
      </c>
      <c r="F249">
        <v>47</v>
      </c>
      <c r="G249">
        <v>10.34</v>
      </c>
      <c r="H249">
        <v>40</v>
      </c>
      <c r="I249" t="s">
        <v>889</v>
      </c>
    </row>
    <row r="250" spans="1:12" x14ac:dyDescent="0.35">
      <c r="A250" t="s">
        <v>1738</v>
      </c>
      <c r="B250" t="s">
        <v>1749</v>
      </c>
      <c r="C250" t="s">
        <v>1748</v>
      </c>
      <c r="D250"/>
      <c r="E250">
        <v>51</v>
      </c>
      <c r="F250">
        <v>44</v>
      </c>
      <c r="G250">
        <v>9.82</v>
      </c>
      <c r="H250">
        <v>55</v>
      </c>
      <c r="I250" t="s">
        <v>1750</v>
      </c>
    </row>
    <row r="251" spans="1:12" x14ac:dyDescent="0.35">
      <c r="A251" t="s">
        <v>1754</v>
      </c>
      <c r="B251" t="s">
        <v>1762</v>
      </c>
      <c r="C251" t="s">
        <v>1763</v>
      </c>
      <c r="D251"/>
      <c r="E251">
        <v>45</v>
      </c>
      <c r="F251">
        <v>45</v>
      </c>
      <c r="G251">
        <v>9.1999999999999993</v>
      </c>
      <c r="H251">
        <v>35.6</v>
      </c>
      <c r="I251" t="s">
        <v>1764</v>
      </c>
    </row>
    <row r="252" spans="1:12" x14ac:dyDescent="0.35">
      <c r="A252" t="s">
        <v>1754</v>
      </c>
      <c r="B252" t="s">
        <v>148</v>
      </c>
      <c r="C252" t="s">
        <v>148</v>
      </c>
      <c r="D252">
        <v>1</v>
      </c>
      <c r="E252">
        <v>44</v>
      </c>
      <c r="F252">
        <v>44</v>
      </c>
      <c r="G252">
        <v>8.9</v>
      </c>
      <c r="H252">
        <v>45.5</v>
      </c>
      <c r="I252" t="s">
        <v>1765</v>
      </c>
    </row>
    <row r="253" spans="1:12" x14ac:dyDescent="0.35">
      <c r="A253" t="s">
        <v>2195</v>
      </c>
      <c r="B253" t="s">
        <v>148</v>
      </c>
      <c r="C253" t="s">
        <v>148</v>
      </c>
      <c r="D253">
        <v>1</v>
      </c>
      <c r="E253">
        <v>127</v>
      </c>
      <c r="F253">
        <v>88</v>
      </c>
      <c r="G253">
        <v>35.9</v>
      </c>
      <c r="H253">
        <f>67/127*100</f>
        <v>52.755905511811022</v>
      </c>
      <c r="I253"/>
    </row>
    <row r="254" spans="1:12" x14ac:dyDescent="0.35">
      <c r="A254" t="s">
        <v>2195</v>
      </c>
      <c r="B254" t="s">
        <v>1073</v>
      </c>
      <c r="C254" t="s">
        <v>1654</v>
      </c>
      <c r="D254"/>
      <c r="E254">
        <v>127</v>
      </c>
      <c r="F254">
        <v>113</v>
      </c>
      <c r="G254">
        <v>35.200000000000003</v>
      </c>
      <c r="H254">
        <f>72/127*100</f>
        <v>56.69291338582677</v>
      </c>
      <c r="I254"/>
    </row>
    <row r="255" spans="1:12" x14ac:dyDescent="0.35">
      <c r="A255" t="s">
        <v>2245</v>
      </c>
      <c r="B255" t="s">
        <v>148</v>
      </c>
      <c r="C255" t="s">
        <v>148</v>
      </c>
      <c r="D255">
        <v>1</v>
      </c>
      <c r="E255">
        <v>82</v>
      </c>
      <c r="F255">
        <v>82</v>
      </c>
      <c r="G255">
        <v>34.799999999999997</v>
      </c>
      <c r="H255">
        <f>24/82*100</f>
        <v>29.268292682926827</v>
      </c>
      <c r="I255"/>
    </row>
    <row r="256" spans="1:12" x14ac:dyDescent="0.35">
      <c r="A256" t="s">
        <v>2245</v>
      </c>
      <c r="B256" t="s">
        <v>1073</v>
      </c>
      <c r="C256" t="s">
        <v>1654</v>
      </c>
      <c r="D256"/>
      <c r="E256">
        <v>123</v>
      </c>
      <c r="F256">
        <v>120</v>
      </c>
      <c r="G256">
        <v>35.5</v>
      </c>
      <c r="H256">
        <f>41/123*100</f>
        <v>33.333333333333329</v>
      </c>
      <c r="I256"/>
    </row>
    <row r="257" spans="1:9" x14ac:dyDescent="0.35">
      <c r="A257" t="s">
        <v>2245</v>
      </c>
      <c r="B257" t="s">
        <v>1072</v>
      </c>
      <c r="C257" t="s">
        <v>1778</v>
      </c>
      <c r="D257"/>
      <c r="E257">
        <v>81</v>
      </c>
      <c r="F257">
        <v>80</v>
      </c>
      <c r="G257">
        <v>37.799999999999997</v>
      </c>
      <c r="H257">
        <f>25/81*100</f>
        <v>30.864197530864196</v>
      </c>
      <c r="I257"/>
    </row>
    <row r="258" spans="1:9" x14ac:dyDescent="0.35">
      <c r="A258" t="s">
        <v>1783</v>
      </c>
      <c r="B258" t="s">
        <v>1787</v>
      </c>
      <c r="C258" t="s">
        <v>1786</v>
      </c>
      <c r="D258"/>
      <c r="E258">
        <v>29</v>
      </c>
      <c r="F258">
        <v>29</v>
      </c>
      <c r="G258">
        <v>38.1</v>
      </c>
      <c r="H258">
        <v>58.6</v>
      </c>
      <c r="I258" t="s">
        <v>1788</v>
      </c>
    </row>
    <row r="259" spans="1:9" x14ac:dyDescent="0.35">
      <c r="A259" t="s">
        <v>1783</v>
      </c>
      <c r="B259" t="s">
        <v>148</v>
      </c>
      <c r="C259" t="s">
        <v>148</v>
      </c>
      <c r="D259">
        <v>1</v>
      </c>
      <c r="E259">
        <v>22</v>
      </c>
      <c r="F259">
        <v>16</v>
      </c>
      <c r="G259">
        <v>32.799999999999997</v>
      </c>
      <c r="H259">
        <v>55.2</v>
      </c>
      <c r="I259" t="s">
        <v>1789</v>
      </c>
    </row>
    <row r="260" spans="1:9" x14ac:dyDescent="0.35">
      <c r="A260" t="s">
        <v>1796</v>
      </c>
      <c r="B260" t="s">
        <v>148</v>
      </c>
      <c r="C260" t="s">
        <v>148</v>
      </c>
      <c r="D260">
        <v>1</v>
      </c>
      <c r="E260">
        <v>29</v>
      </c>
      <c r="F260">
        <v>27</v>
      </c>
      <c r="G260">
        <v>50.7</v>
      </c>
      <c r="H260">
        <v>69</v>
      </c>
      <c r="I260"/>
    </row>
    <row r="261" spans="1:9" x14ac:dyDescent="0.35">
      <c r="A261" t="s">
        <v>1796</v>
      </c>
      <c r="B261" t="s">
        <v>1800</v>
      </c>
      <c r="C261" t="s">
        <v>1798</v>
      </c>
      <c r="D261"/>
      <c r="E261">
        <v>29</v>
      </c>
      <c r="F261">
        <v>28</v>
      </c>
      <c r="G261">
        <v>44</v>
      </c>
      <c r="H261">
        <v>62.1</v>
      </c>
      <c r="I261"/>
    </row>
    <row r="262" spans="1:9" x14ac:dyDescent="0.35">
      <c r="A262" t="s">
        <v>1796</v>
      </c>
      <c r="B262" t="s">
        <v>1801</v>
      </c>
      <c r="C262" t="s">
        <v>1799</v>
      </c>
      <c r="D262"/>
      <c r="E262">
        <v>29</v>
      </c>
      <c r="F262">
        <v>27</v>
      </c>
      <c r="G262">
        <v>41.9</v>
      </c>
      <c r="H262">
        <v>69</v>
      </c>
      <c r="I262"/>
    </row>
    <row r="263" spans="1:9" x14ac:dyDescent="0.35">
      <c r="A263" t="s">
        <v>1877</v>
      </c>
      <c r="B263" t="s">
        <v>2059</v>
      </c>
      <c r="C263" t="s">
        <v>2068</v>
      </c>
      <c r="D263"/>
      <c r="E263">
        <v>57</v>
      </c>
      <c r="F263">
        <v>46</v>
      </c>
      <c r="G263">
        <v>39.5</v>
      </c>
      <c r="H263">
        <v>52.6</v>
      </c>
      <c r="I263" t="s">
        <v>1807</v>
      </c>
    </row>
    <row r="264" spans="1:9" x14ac:dyDescent="0.35">
      <c r="A264" t="s">
        <v>1877</v>
      </c>
      <c r="B264" t="s">
        <v>2060</v>
      </c>
      <c r="C264" t="s">
        <v>2066</v>
      </c>
      <c r="D264"/>
      <c r="E264">
        <v>57</v>
      </c>
      <c r="F264">
        <v>45</v>
      </c>
      <c r="G264">
        <v>39.6</v>
      </c>
      <c r="H264">
        <v>47.4</v>
      </c>
      <c r="I264" t="s">
        <v>1808</v>
      </c>
    </row>
    <row r="265" spans="1:9" x14ac:dyDescent="0.35">
      <c r="A265" t="s">
        <v>1877</v>
      </c>
      <c r="B265" t="s">
        <v>2061</v>
      </c>
      <c r="C265" t="s">
        <v>2067</v>
      </c>
      <c r="D265"/>
      <c r="E265">
        <v>56</v>
      </c>
      <c r="F265">
        <v>50</v>
      </c>
      <c r="G265">
        <v>41.7</v>
      </c>
      <c r="H265">
        <v>50</v>
      </c>
      <c r="I265" t="s">
        <v>1809</v>
      </c>
    </row>
    <row r="266" spans="1:9" x14ac:dyDescent="0.35">
      <c r="A266" t="s">
        <v>1877</v>
      </c>
      <c r="B266" t="s">
        <v>148</v>
      </c>
      <c r="C266" t="s">
        <v>148</v>
      </c>
      <c r="D266">
        <v>1</v>
      </c>
      <c r="E266">
        <v>56</v>
      </c>
      <c r="F266">
        <v>40</v>
      </c>
      <c r="G266">
        <v>39.6</v>
      </c>
      <c r="H266">
        <v>64.3</v>
      </c>
      <c r="I266" t="s">
        <v>1810</v>
      </c>
    </row>
    <row r="267" spans="1:9" x14ac:dyDescent="0.35">
      <c r="A267" t="s">
        <v>1812</v>
      </c>
      <c r="B267" t="s">
        <v>1038</v>
      </c>
      <c r="C267" t="s">
        <v>1819</v>
      </c>
      <c r="D267">
        <v>1</v>
      </c>
      <c r="E267">
        <v>25</v>
      </c>
      <c r="F267">
        <v>21</v>
      </c>
      <c r="G267">
        <v>35.880000000000003</v>
      </c>
      <c r="H267">
        <v>66</v>
      </c>
      <c r="I267" t="s">
        <v>1821</v>
      </c>
    </row>
    <row r="268" spans="1:9" x14ac:dyDescent="0.35">
      <c r="A268" t="s">
        <v>1812</v>
      </c>
      <c r="B268" t="s">
        <v>1048</v>
      </c>
      <c r="C268" t="s">
        <v>1820</v>
      </c>
      <c r="D268"/>
      <c r="E268">
        <v>25</v>
      </c>
      <c r="F268">
        <v>23</v>
      </c>
      <c r="G268">
        <v>35</v>
      </c>
      <c r="H268">
        <v>66</v>
      </c>
      <c r="I268" t="s">
        <v>1822</v>
      </c>
    </row>
    <row r="269" spans="1:9" x14ac:dyDescent="0.35">
      <c r="A269" t="s">
        <v>1825</v>
      </c>
      <c r="B269" t="s">
        <v>1834</v>
      </c>
      <c r="C269" t="s">
        <v>1831</v>
      </c>
      <c r="D269"/>
      <c r="E269">
        <v>29</v>
      </c>
      <c r="F269">
        <v>20</v>
      </c>
      <c r="G269">
        <v>33.1</v>
      </c>
      <c r="H269">
        <v>45</v>
      </c>
      <c r="I269" t="s">
        <v>620</v>
      </c>
    </row>
    <row r="270" spans="1:9" x14ac:dyDescent="0.35">
      <c r="A270" t="s">
        <v>1825</v>
      </c>
      <c r="B270" t="s">
        <v>1833</v>
      </c>
      <c r="C270" t="s">
        <v>1832</v>
      </c>
      <c r="D270"/>
      <c r="E270">
        <v>30</v>
      </c>
      <c r="F270">
        <v>22</v>
      </c>
      <c r="G270">
        <v>35.6</v>
      </c>
      <c r="H270">
        <v>47</v>
      </c>
      <c r="I270" t="s">
        <v>617</v>
      </c>
    </row>
    <row r="271" spans="1:9" x14ac:dyDescent="0.35">
      <c r="A271" t="s">
        <v>1825</v>
      </c>
      <c r="B271" t="s">
        <v>148</v>
      </c>
      <c r="C271" t="s">
        <v>148</v>
      </c>
      <c r="D271">
        <v>1</v>
      </c>
      <c r="E271">
        <v>29</v>
      </c>
      <c r="F271">
        <v>17</v>
      </c>
      <c r="G271">
        <v>32.1</v>
      </c>
      <c r="H271">
        <v>34</v>
      </c>
      <c r="I271" t="s">
        <v>1835</v>
      </c>
    </row>
    <row r="272" spans="1:9" x14ac:dyDescent="0.35">
      <c r="A272" t="s">
        <v>1841</v>
      </c>
      <c r="B272" t="s">
        <v>1848</v>
      </c>
      <c r="C272" t="s">
        <v>1854</v>
      </c>
      <c r="D272"/>
      <c r="E272">
        <v>40</v>
      </c>
      <c r="F272">
        <v>37</v>
      </c>
      <c r="G272">
        <v>33.200000000000003</v>
      </c>
      <c r="H272">
        <v>35</v>
      </c>
      <c r="I272" t="s">
        <v>1850</v>
      </c>
    </row>
    <row r="273" spans="1:10" x14ac:dyDescent="0.35">
      <c r="A273" t="s">
        <v>1841</v>
      </c>
      <c r="B273" t="s">
        <v>1849</v>
      </c>
      <c r="C273" t="s">
        <v>1855</v>
      </c>
      <c r="D273"/>
      <c r="E273">
        <v>40</v>
      </c>
      <c r="F273">
        <v>37</v>
      </c>
      <c r="G273">
        <v>36.700000000000003</v>
      </c>
      <c r="H273">
        <v>27</v>
      </c>
      <c r="I273" t="s">
        <v>1851</v>
      </c>
    </row>
    <row r="274" spans="1:10" x14ac:dyDescent="0.35">
      <c r="A274" t="s">
        <v>1841</v>
      </c>
      <c r="B274" t="s">
        <v>148</v>
      </c>
      <c r="C274" t="s">
        <v>148</v>
      </c>
      <c r="D274">
        <v>1</v>
      </c>
      <c r="E274">
        <v>40</v>
      </c>
      <c r="F274">
        <v>36</v>
      </c>
      <c r="G274">
        <v>33.700000000000003</v>
      </c>
      <c r="H274">
        <v>40</v>
      </c>
      <c r="I274" t="s">
        <v>1852</v>
      </c>
    </row>
    <row r="275" spans="1:10" x14ac:dyDescent="0.35">
      <c r="A275" s="86" t="s">
        <v>1885</v>
      </c>
      <c r="B275" s="232" t="s">
        <v>1886</v>
      </c>
      <c r="C275" s="232" t="s">
        <v>1889</v>
      </c>
      <c r="E275" s="83">
        <v>5</v>
      </c>
      <c r="F275" s="83">
        <v>4</v>
      </c>
      <c r="G275" s="83">
        <v>32.5</v>
      </c>
      <c r="H275" s="83">
        <v>25</v>
      </c>
      <c r="I275" s="83" t="s">
        <v>620</v>
      </c>
    </row>
    <row r="276" spans="1:10" x14ac:dyDescent="0.35">
      <c r="A276" s="86" t="s">
        <v>1885</v>
      </c>
      <c r="B276" s="232" t="s">
        <v>1887</v>
      </c>
      <c r="C276" s="232" t="s">
        <v>1890</v>
      </c>
      <c r="E276" s="83">
        <v>8</v>
      </c>
      <c r="F276" s="83">
        <v>6</v>
      </c>
      <c r="G276" s="83">
        <v>29.4</v>
      </c>
      <c r="H276" s="83">
        <f>100-71.4</f>
        <v>28.599999999999994</v>
      </c>
      <c r="I276" s="83" t="s">
        <v>887</v>
      </c>
    </row>
    <row r="277" spans="1:10" x14ac:dyDescent="0.35">
      <c r="A277" s="86" t="s">
        <v>1885</v>
      </c>
      <c r="B277" s="232" t="s">
        <v>1888</v>
      </c>
      <c r="C277" s="232" t="s">
        <v>1891</v>
      </c>
      <c r="E277" s="83">
        <v>22</v>
      </c>
      <c r="F277" s="83">
        <v>18</v>
      </c>
      <c r="G277" s="83">
        <v>34</v>
      </c>
      <c r="H277" s="83">
        <v>25</v>
      </c>
      <c r="I277" s="83" t="s">
        <v>1291</v>
      </c>
    </row>
    <row r="278" spans="1:10" x14ac:dyDescent="0.35">
      <c r="A278" s="86" t="s">
        <v>1885</v>
      </c>
      <c r="B278" s="232" t="s">
        <v>148</v>
      </c>
      <c r="C278" s="232" t="s">
        <v>148</v>
      </c>
      <c r="D278" s="393">
        <v>1</v>
      </c>
      <c r="E278" s="83">
        <v>17</v>
      </c>
      <c r="F278" s="83">
        <v>11</v>
      </c>
      <c r="G278" s="83">
        <v>34.200000000000003</v>
      </c>
      <c r="H278" s="83">
        <f>100-76.9</f>
        <v>23.099999999999994</v>
      </c>
      <c r="I278" s="83" t="s">
        <v>1892</v>
      </c>
    </row>
    <row r="279" spans="1:10" x14ac:dyDescent="0.35">
      <c r="A279" s="86" t="s">
        <v>2182</v>
      </c>
      <c r="B279" s="232" t="s">
        <v>2188</v>
      </c>
      <c r="C279" s="232" t="s">
        <v>2189</v>
      </c>
      <c r="E279" s="83">
        <v>54</v>
      </c>
      <c r="F279" s="83">
        <v>49</v>
      </c>
      <c r="G279" s="83">
        <v>36.299999999999997</v>
      </c>
      <c r="H279" s="83">
        <v>35.200000000000003</v>
      </c>
      <c r="I279" s="83" t="s">
        <v>2198</v>
      </c>
    </row>
    <row r="280" spans="1:10" x14ac:dyDescent="0.35">
      <c r="A280" s="86" t="s">
        <v>2182</v>
      </c>
      <c r="B280" s="232" t="s">
        <v>2187</v>
      </c>
      <c r="C280" s="232" t="s">
        <v>2190</v>
      </c>
      <c r="E280" s="83">
        <v>55</v>
      </c>
      <c r="F280" s="83">
        <v>50</v>
      </c>
      <c r="G280" s="83">
        <v>34.5</v>
      </c>
      <c r="H280" s="83">
        <v>47.3</v>
      </c>
      <c r="I280" s="83" t="s">
        <v>2199</v>
      </c>
    </row>
    <row r="281" spans="1:10" x14ac:dyDescent="0.35">
      <c r="A281" s="86" t="s">
        <v>2182</v>
      </c>
      <c r="B281" s="232" t="s">
        <v>2186</v>
      </c>
      <c r="C281" s="232" t="s">
        <v>2191</v>
      </c>
      <c r="E281" s="83">
        <v>55</v>
      </c>
      <c r="F281" s="83">
        <v>52</v>
      </c>
      <c r="G281" s="83">
        <v>40.299999999999997</v>
      </c>
      <c r="H281" s="83">
        <v>52.7</v>
      </c>
      <c r="I281" s="83" t="s">
        <v>662</v>
      </c>
    </row>
    <row r="282" spans="1:10" x14ac:dyDescent="0.35">
      <c r="A282" s="86" t="s">
        <v>2182</v>
      </c>
      <c r="B282" s="232" t="s">
        <v>148</v>
      </c>
      <c r="C282" s="232" t="s">
        <v>148</v>
      </c>
      <c r="D282" s="393">
        <v>1</v>
      </c>
      <c r="E282" s="83">
        <v>56</v>
      </c>
      <c r="F282" s="83">
        <v>44</v>
      </c>
      <c r="G282" s="83">
        <v>39.5</v>
      </c>
      <c r="H282" s="83">
        <v>37.5</v>
      </c>
      <c r="I282" s="83" t="s">
        <v>2200</v>
      </c>
    </row>
    <row r="283" spans="1:10" x14ac:dyDescent="0.35">
      <c r="A283" s="86" t="s">
        <v>1916</v>
      </c>
      <c r="B283" s="232" t="s">
        <v>1922</v>
      </c>
      <c r="C283" s="232" t="s">
        <v>1919</v>
      </c>
      <c r="E283" s="83">
        <v>38</v>
      </c>
      <c r="F283" s="83">
        <v>30</v>
      </c>
      <c r="G283" s="83">
        <v>33.700000000000003</v>
      </c>
      <c r="H283" s="83">
        <v>23.5</v>
      </c>
    </row>
    <row r="284" spans="1:10" x14ac:dyDescent="0.35">
      <c r="A284" s="86" t="s">
        <v>1916</v>
      </c>
      <c r="B284" s="232" t="s">
        <v>1923</v>
      </c>
      <c r="C284" s="232" t="s">
        <v>1920</v>
      </c>
      <c r="E284" s="83">
        <v>17</v>
      </c>
      <c r="F284" s="83">
        <v>17</v>
      </c>
      <c r="G284" s="83">
        <v>34.1</v>
      </c>
      <c r="H284" s="83">
        <v>52.9</v>
      </c>
    </row>
    <row r="285" spans="1:10" x14ac:dyDescent="0.35">
      <c r="A285" s="86" t="s">
        <v>1916</v>
      </c>
      <c r="B285" s="232" t="s">
        <v>148</v>
      </c>
      <c r="C285" s="232" t="s">
        <v>148</v>
      </c>
      <c r="D285" s="393">
        <v>1</v>
      </c>
      <c r="E285" s="83">
        <v>16</v>
      </c>
      <c r="F285" s="83">
        <v>14</v>
      </c>
      <c r="G285" s="83">
        <f>(35.3*8+31.9*8)/16</f>
        <v>33.599999999999994</v>
      </c>
      <c r="H285" s="83">
        <f>5/16*100</f>
        <v>31.25</v>
      </c>
      <c r="J285" s="13" t="s">
        <v>1921</v>
      </c>
    </row>
    <row r="286" spans="1:10" x14ac:dyDescent="0.35">
      <c r="A286" s="86" t="s">
        <v>1926</v>
      </c>
      <c r="B286" s="232" t="s">
        <v>148</v>
      </c>
      <c r="C286" s="232" t="s">
        <v>148</v>
      </c>
      <c r="D286" s="393">
        <v>1</v>
      </c>
      <c r="E286" s="83">
        <v>32</v>
      </c>
      <c r="F286" s="83">
        <v>32</v>
      </c>
      <c r="G286" s="83">
        <v>9.6</v>
      </c>
      <c r="H286" s="83">
        <v>34.4</v>
      </c>
      <c r="I286" s="83">
        <v>26.5</v>
      </c>
    </row>
    <row r="287" spans="1:10" ht="18" customHeight="1" x14ac:dyDescent="0.35">
      <c r="A287" s="86" t="s">
        <v>1926</v>
      </c>
      <c r="B287" s="232" t="s">
        <v>1934</v>
      </c>
      <c r="C287" s="230" t="s">
        <v>2085</v>
      </c>
      <c r="E287" s="83">
        <v>30</v>
      </c>
      <c r="F287" s="83">
        <v>28</v>
      </c>
      <c r="G287" s="83">
        <v>10</v>
      </c>
      <c r="H287" s="83">
        <v>40</v>
      </c>
      <c r="I287" s="83">
        <v>23.9</v>
      </c>
      <c r="J287" s="13" t="s">
        <v>1935</v>
      </c>
    </row>
    <row r="288" spans="1:10" x14ac:dyDescent="0.35">
      <c r="A288" s="116" t="s">
        <v>2065</v>
      </c>
      <c r="B288" t="s">
        <v>2060</v>
      </c>
      <c r="C288" t="s">
        <v>2066</v>
      </c>
      <c r="E288" s="83">
        <v>219</v>
      </c>
      <c r="F288" s="83">
        <v>209</v>
      </c>
      <c r="G288" s="83">
        <v>38.6</v>
      </c>
      <c r="H288" s="83">
        <v>33.299999999999997</v>
      </c>
      <c r="I288" s="83">
        <v>29.27</v>
      </c>
    </row>
    <row r="289" spans="1:9" x14ac:dyDescent="0.35">
      <c r="A289" s="116" t="s">
        <v>2065</v>
      </c>
      <c r="B289" s="232" t="s">
        <v>148</v>
      </c>
      <c r="C289" s="232" t="s">
        <v>148</v>
      </c>
      <c r="D289" s="393">
        <v>1</v>
      </c>
      <c r="E289" s="83">
        <v>111</v>
      </c>
      <c r="F289" s="83">
        <v>102</v>
      </c>
      <c r="G289" s="83">
        <v>39.6</v>
      </c>
      <c r="H289" s="83">
        <v>36</v>
      </c>
      <c r="I289" s="83">
        <v>28.62</v>
      </c>
    </row>
    <row r="290" spans="1:9" x14ac:dyDescent="0.35">
      <c r="A290" s="86" t="s">
        <v>2072</v>
      </c>
      <c r="B290" s="232" t="s">
        <v>2077</v>
      </c>
      <c r="C290" s="232" t="s">
        <v>2086</v>
      </c>
      <c r="E290" s="83">
        <v>61</v>
      </c>
      <c r="F290" s="83">
        <v>44</v>
      </c>
      <c r="G290" s="83">
        <v>36.200000000000003</v>
      </c>
      <c r="H290" s="83">
        <v>52.5</v>
      </c>
    </row>
    <row r="291" spans="1:9" x14ac:dyDescent="0.35">
      <c r="A291" s="86" t="s">
        <v>2072</v>
      </c>
      <c r="B291" s="232" t="s">
        <v>2078</v>
      </c>
      <c r="C291" s="232" t="s">
        <v>2087</v>
      </c>
      <c r="E291" s="83">
        <v>45</v>
      </c>
      <c r="F291" s="83">
        <v>29</v>
      </c>
      <c r="G291" s="83">
        <v>35.200000000000003</v>
      </c>
      <c r="H291" s="83">
        <v>46.7</v>
      </c>
    </row>
    <row r="292" spans="1:9" x14ac:dyDescent="0.35">
      <c r="A292" s="86" t="s">
        <v>2072</v>
      </c>
      <c r="B292" s="232" t="s">
        <v>2079</v>
      </c>
      <c r="C292" s="232" t="s">
        <v>2088</v>
      </c>
      <c r="E292" s="83">
        <v>49</v>
      </c>
      <c r="F292" s="83">
        <v>33</v>
      </c>
      <c r="G292" s="83">
        <v>35.200000000000003</v>
      </c>
      <c r="H292" s="83">
        <v>61.2</v>
      </c>
    </row>
    <row r="293" spans="1:9" x14ac:dyDescent="0.35">
      <c r="A293" s="86" t="s">
        <v>2072</v>
      </c>
      <c r="B293" s="232" t="s">
        <v>148</v>
      </c>
      <c r="C293" s="232" t="s">
        <v>148</v>
      </c>
      <c r="D293" s="393">
        <v>1</v>
      </c>
      <c r="E293" s="83">
        <v>61</v>
      </c>
      <c r="F293" s="83">
        <v>46</v>
      </c>
      <c r="G293" s="83">
        <v>33.4</v>
      </c>
      <c r="H293" s="83">
        <v>57.4</v>
      </c>
    </row>
    <row r="294" spans="1:9" ht="29" x14ac:dyDescent="0.35">
      <c r="A294" s="86" t="s">
        <v>2100</v>
      </c>
      <c r="B294" s="232" t="s">
        <v>1056</v>
      </c>
      <c r="C294" s="230" t="s">
        <v>1241</v>
      </c>
      <c r="D294" s="393">
        <v>1</v>
      </c>
      <c r="E294" s="83">
        <v>461</v>
      </c>
      <c r="F294" s="83">
        <v>433</v>
      </c>
      <c r="G294" s="83">
        <v>30.9</v>
      </c>
      <c r="H294" s="83">
        <v>47</v>
      </c>
      <c r="I294" s="83">
        <v>27.1</v>
      </c>
    </row>
    <row r="295" spans="1:9" x14ac:dyDescent="0.35">
      <c r="A295" s="86" t="s">
        <v>2100</v>
      </c>
      <c r="B295" s="232" t="s">
        <v>2101</v>
      </c>
      <c r="C295" s="232" t="s">
        <v>2102</v>
      </c>
      <c r="E295" s="83">
        <v>458</v>
      </c>
      <c r="F295" s="83">
        <v>426</v>
      </c>
      <c r="G295" s="83">
        <v>31</v>
      </c>
      <c r="H295" s="83">
        <v>42.6</v>
      </c>
      <c r="I295" s="83">
        <v>27.6</v>
      </c>
    </row>
    <row r="296" spans="1:9" x14ac:dyDescent="0.35">
      <c r="A296" s="469" t="s">
        <v>2228</v>
      </c>
      <c r="B296" s="8" t="s">
        <v>1833</v>
      </c>
      <c r="C296" s="8" t="s">
        <v>2119</v>
      </c>
      <c r="D296" s="472"/>
      <c r="E296" s="473">
        <v>77</v>
      </c>
      <c r="F296" s="473">
        <v>68</v>
      </c>
      <c r="G296" s="473">
        <v>36.299999999999997</v>
      </c>
      <c r="H296" s="473">
        <v>39</v>
      </c>
      <c r="I296" s="473">
        <v>30.3</v>
      </c>
    </row>
    <row r="297" spans="1:9" ht="15.5" x14ac:dyDescent="0.35">
      <c r="A297" s="469" t="s">
        <v>2228</v>
      </c>
      <c r="B297" s="474" t="s">
        <v>2110</v>
      </c>
      <c r="C297" s="475" t="s">
        <v>2116</v>
      </c>
      <c r="D297" s="472"/>
      <c r="E297" s="473">
        <v>78</v>
      </c>
      <c r="F297" s="473">
        <v>62</v>
      </c>
      <c r="G297" s="473">
        <v>40.799999999999997</v>
      </c>
      <c r="H297" s="473">
        <v>44.9</v>
      </c>
      <c r="I297" s="473">
        <v>28.7</v>
      </c>
    </row>
    <row r="298" spans="1:9" ht="15.5" x14ac:dyDescent="0.35">
      <c r="A298" s="469" t="s">
        <v>2228</v>
      </c>
      <c r="B298" s="475" t="s">
        <v>2113</v>
      </c>
      <c r="C298" s="475" t="s">
        <v>2117</v>
      </c>
      <c r="D298" s="472"/>
      <c r="E298" s="473">
        <v>77</v>
      </c>
      <c r="F298" s="473">
        <v>69</v>
      </c>
      <c r="G298" s="473">
        <v>37.9</v>
      </c>
      <c r="H298" s="473">
        <v>50.6</v>
      </c>
      <c r="I298" s="473">
        <v>30</v>
      </c>
    </row>
    <row r="299" spans="1:9" ht="15.5" x14ac:dyDescent="0.35">
      <c r="A299" s="469" t="s">
        <v>2228</v>
      </c>
      <c r="B299" s="475" t="s">
        <v>2114</v>
      </c>
      <c r="C299" s="475" t="s">
        <v>2118</v>
      </c>
      <c r="D299" s="472"/>
      <c r="E299" s="473">
        <v>79</v>
      </c>
      <c r="F299" s="473">
        <v>67</v>
      </c>
      <c r="G299" s="473">
        <v>37.6</v>
      </c>
      <c r="H299" s="473">
        <v>46.8</v>
      </c>
      <c r="I299" s="473">
        <v>28.7</v>
      </c>
    </row>
    <row r="300" spans="1:9" x14ac:dyDescent="0.35">
      <c r="A300" s="469" t="s">
        <v>2228</v>
      </c>
      <c r="B300" s="474" t="s">
        <v>148</v>
      </c>
      <c r="C300" s="474" t="s">
        <v>148</v>
      </c>
      <c r="D300" s="472">
        <v>1</v>
      </c>
      <c r="E300" s="473">
        <v>79</v>
      </c>
      <c r="F300" s="473">
        <v>57</v>
      </c>
      <c r="G300" s="473">
        <v>36.4</v>
      </c>
      <c r="H300" s="473">
        <v>38</v>
      </c>
      <c r="I300" s="473">
        <v>26.4</v>
      </c>
    </row>
    <row r="301" spans="1:9" x14ac:dyDescent="0.35">
      <c r="A301" s="116" t="s">
        <v>2120</v>
      </c>
      <c r="B301" s="232" t="s">
        <v>2134</v>
      </c>
      <c r="C301" s="232" t="s">
        <v>2133</v>
      </c>
      <c r="D301" s="393">
        <v>1</v>
      </c>
      <c r="E301" s="83">
        <v>15</v>
      </c>
      <c r="F301" s="83">
        <v>14</v>
      </c>
      <c r="G301" s="83">
        <v>20.9</v>
      </c>
      <c r="H301" s="83">
        <v>38</v>
      </c>
      <c r="I301" s="83">
        <v>47</v>
      </c>
    </row>
    <row r="302" spans="1:9" ht="29" x14ac:dyDescent="0.35">
      <c r="A302" s="116" t="s">
        <v>2120</v>
      </c>
      <c r="B302" s="232" t="s">
        <v>1056</v>
      </c>
      <c r="C302" s="230" t="s">
        <v>1241</v>
      </c>
      <c r="E302" s="83">
        <v>15</v>
      </c>
      <c r="F302" s="83">
        <v>14</v>
      </c>
      <c r="G302" s="83">
        <v>23.1</v>
      </c>
      <c r="H302" s="83">
        <v>41</v>
      </c>
      <c r="I302" s="83">
        <v>45</v>
      </c>
    </row>
    <row r="303" spans="1:9" x14ac:dyDescent="0.35">
      <c r="A303" s="116" t="s">
        <v>2120</v>
      </c>
      <c r="B303" s="232" t="s">
        <v>2135</v>
      </c>
      <c r="C303" s="232" t="s">
        <v>2136</v>
      </c>
      <c r="E303" s="83">
        <v>20</v>
      </c>
      <c r="F303" s="83">
        <v>18</v>
      </c>
      <c r="G303" s="83">
        <v>19.2</v>
      </c>
      <c r="H303" s="83">
        <v>42</v>
      </c>
      <c r="I303" s="83">
        <v>50</v>
      </c>
    </row>
    <row r="304" spans="1:9" ht="15.5" x14ac:dyDescent="0.35">
      <c r="A304" s="116" t="s">
        <v>2120</v>
      </c>
      <c r="B304" s="387" t="s">
        <v>2137</v>
      </c>
      <c r="C304" s="387" t="s">
        <v>2138</v>
      </c>
      <c r="E304" s="83">
        <v>15</v>
      </c>
      <c r="F304" s="83">
        <v>13</v>
      </c>
      <c r="G304" s="83">
        <v>20.9</v>
      </c>
      <c r="H304" s="83">
        <v>35</v>
      </c>
      <c r="I304" s="83">
        <v>51</v>
      </c>
    </row>
    <row r="305" spans="1:9" x14ac:dyDescent="0.35">
      <c r="A305" s="86" t="s">
        <v>2143</v>
      </c>
      <c r="B305" t="s">
        <v>1073</v>
      </c>
      <c r="C305" t="s">
        <v>1654</v>
      </c>
      <c r="D305"/>
      <c r="E305" s="83">
        <v>220</v>
      </c>
      <c r="F305" s="83">
        <v>212</v>
      </c>
      <c r="G305" s="83">
        <v>33.700000000000003</v>
      </c>
      <c r="H305" s="83">
        <v>45.5</v>
      </c>
    </row>
    <row r="306" spans="1:9" x14ac:dyDescent="0.35">
      <c r="A306" s="86" t="s">
        <v>2143</v>
      </c>
      <c r="B306" t="s">
        <v>148</v>
      </c>
      <c r="C306" t="s">
        <v>148</v>
      </c>
      <c r="D306">
        <v>1</v>
      </c>
      <c r="E306" s="83">
        <v>111</v>
      </c>
      <c r="F306" s="83">
        <v>100</v>
      </c>
      <c r="G306" s="83">
        <v>34.1</v>
      </c>
      <c r="H306" s="83">
        <v>50.5</v>
      </c>
    </row>
    <row r="307" spans="1:9" x14ac:dyDescent="0.35">
      <c r="A307" s="469" t="s">
        <v>2236</v>
      </c>
      <c r="B307" s="474" t="s">
        <v>2150</v>
      </c>
      <c r="C307" s="474" t="s">
        <v>2153</v>
      </c>
      <c r="D307" s="472"/>
      <c r="E307" s="473">
        <v>58</v>
      </c>
      <c r="F307" s="473">
        <v>37</v>
      </c>
      <c r="G307" s="473">
        <v>40.200000000000003</v>
      </c>
      <c r="H307" s="473">
        <v>63.8</v>
      </c>
      <c r="I307" s="473">
        <v>23.3</v>
      </c>
    </row>
    <row r="308" spans="1:9" x14ac:dyDescent="0.35">
      <c r="A308" s="469" t="s">
        <v>2236</v>
      </c>
      <c r="B308" s="474" t="s">
        <v>2151</v>
      </c>
      <c r="C308" s="474" t="s">
        <v>2154</v>
      </c>
      <c r="D308" s="472"/>
      <c r="E308" s="473">
        <v>61</v>
      </c>
      <c r="F308" s="473">
        <v>35</v>
      </c>
      <c r="G308" s="473">
        <v>39.1</v>
      </c>
      <c r="H308" s="473">
        <v>44.3</v>
      </c>
      <c r="I308" s="473">
        <v>23.3</v>
      </c>
    </row>
    <row r="309" spans="1:9" x14ac:dyDescent="0.35">
      <c r="A309" s="469" t="s">
        <v>2236</v>
      </c>
      <c r="B309" s="474" t="s">
        <v>2152</v>
      </c>
      <c r="C309" s="474" t="s">
        <v>2155</v>
      </c>
      <c r="D309" s="472"/>
      <c r="E309" s="473">
        <v>59</v>
      </c>
      <c r="F309" s="473">
        <v>37</v>
      </c>
      <c r="G309" s="473">
        <v>42.5</v>
      </c>
      <c r="H309" s="473">
        <v>47.5</v>
      </c>
      <c r="I309" s="473">
        <v>21.6</v>
      </c>
    </row>
    <row r="310" spans="1:9" x14ac:dyDescent="0.35">
      <c r="A310" s="469" t="s">
        <v>2236</v>
      </c>
      <c r="B310" s="474" t="s">
        <v>148</v>
      </c>
      <c r="C310" s="8" t="s">
        <v>148</v>
      </c>
      <c r="D310" s="472">
        <v>1</v>
      </c>
      <c r="E310" s="473">
        <v>55</v>
      </c>
      <c r="F310" s="473">
        <v>42</v>
      </c>
      <c r="G310" s="473">
        <v>40.9</v>
      </c>
      <c r="H310" s="473">
        <v>49.1</v>
      </c>
      <c r="I310" s="473">
        <v>22.5</v>
      </c>
    </row>
    <row r="311" spans="1:9" x14ac:dyDescent="0.35">
      <c r="A311" s="86" t="s">
        <v>2160</v>
      </c>
      <c r="B311" s="232" t="s">
        <v>1089</v>
      </c>
      <c r="C311" s="232" t="s">
        <v>708</v>
      </c>
      <c r="E311" s="83">
        <v>99</v>
      </c>
      <c r="F311" s="83">
        <v>91</v>
      </c>
      <c r="G311" s="83">
        <v>35.369999999999997</v>
      </c>
      <c r="H311" s="83">
        <v>61.6</v>
      </c>
    </row>
    <row r="312" spans="1:9" x14ac:dyDescent="0.35">
      <c r="A312" s="86" t="s">
        <v>2160</v>
      </c>
      <c r="B312" s="232" t="s">
        <v>1088</v>
      </c>
      <c r="C312" s="232" t="s">
        <v>1128</v>
      </c>
      <c r="D312" s="393">
        <v>1</v>
      </c>
      <c r="E312" s="83">
        <v>101</v>
      </c>
      <c r="F312" s="83">
        <v>94</v>
      </c>
      <c r="G312" s="83">
        <v>37.5</v>
      </c>
      <c r="H312" s="83">
        <v>47.5</v>
      </c>
    </row>
    <row r="313" spans="1:9" ht="29" x14ac:dyDescent="0.35">
      <c r="A313" s="86" t="s">
        <v>2170</v>
      </c>
      <c r="B313" s="109" t="s">
        <v>1082</v>
      </c>
      <c r="C313" s="226" t="s">
        <v>715</v>
      </c>
      <c r="E313" s="83">
        <v>620</v>
      </c>
      <c r="F313" s="83">
        <v>560</v>
      </c>
      <c r="G313" s="83">
        <v>33.5</v>
      </c>
      <c r="H313" s="83">
        <v>48</v>
      </c>
      <c r="I313" s="83">
        <v>27.8</v>
      </c>
    </row>
    <row r="314" spans="1:9" x14ac:dyDescent="0.35">
      <c r="A314" s="86" t="s">
        <v>2170</v>
      </c>
      <c r="B314" s="232" t="s">
        <v>148</v>
      </c>
      <c r="C314" t="s">
        <v>148</v>
      </c>
      <c r="D314" s="393">
        <v>1</v>
      </c>
      <c r="E314" s="83">
        <v>321</v>
      </c>
      <c r="F314" s="83">
        <v>296</v>
      </c>
      <c r="G314" s="83">
        <v>33.299999999999997</v>
      </c>
      <c r="H314" s="83">
        <v>45</v>
      </c>
      <c r="I314" s="83">
        <v>27.1</v>
      </c>
    </row>
    <row r="315" spans="1:9" ht="29" x14ac:dyDescent="0.35">
      <c r="A315" s="86" t="s">
        <v>2171</v>
      </c>
      <c r="B315" s="109" t="s">
        <v>1082</v>
      </c>
      <c r="C315" s="226" t="s">
        <v>715</v>
      </c>
      <c r="E315" s="83">
        <v>522</v>
      </c>
      <c r="F315" s="83">
        <v>470</v>
      </c>
      <c r="G315" s="83">
        <v>34.9</v>
      </c>
      <c r="H315" s="83">
        <v>52</v>
      </c>
      <c r="I315" s="83">
        <v>27.4</v>
      </c>
    </row>
    <row r="316" spans="1:9" x14ac:dyDescent="0.35">
      <c r="A316" s="86" t="s">
        <v>2171</v>
      </c>
      <c r="B316" s="232" t="s">
        <v>148</v>
      </c>
      <c r="C316" t="s">
        <v>148</v>
      </c>
      <c r="D316" s="393">
        <v>1</v>
      </c>
      <c r="E316" s="83">
        <v>265</v>
      </c>
      <c r="F316" s="83">
        <v>241</v>
      </c>
      <c r="G316" s="83">
        <v>35.200000000000003</v>
      </c>
      <c r="H316" s="83">
        <v>51</v>
      </c>
      <c r="I316" s="83">
        <v>27.6</v>
      </c>
    </row>
    <row r="317" spans="1:9" x14ac:dyDescent="0.35">
      <c r="A317" s="86" t="s">
        <v>2202</v>
      </c>
      <c r="B317" s="232" t="s">
        <v>2207</v>
      </c>
      <c r="C317" s="232" t="s">
        <v>2208</v>
      </c>
      <c r="E317" s="83">
        <v>52</v>
      </c>
      <c r="F317" s="83">
        <v>36</v>
      </c>
      <c r="G317" s="83">
        <v>35.200000000000003</v>
      </c>
      <c r="H317" s="83">
        <v>50</v>
      </c>
    </row>
    <row r="318" spans="1:9" x14ac:dyDescent="0.35">
      <c r="A318" s="86" t="s">
        <v>2202</v>
      </c>
      <c r="B318" s="232" t="s">
        <v>148</v>
      </c>
      <c r="C318" s="232" t="s">
        <v>148</v>
      </c>
      <c r="D318" s="393">
        <v>1</v>
      </c>
      <c r="E318" s="83">
        <v>25</v>
      </c>
      <c r="F318" s="83">
        <v>19</v>
      </c>
      <c r="G318" s="83">
        <v>32.9</v>
      </c>
      <c r="H318" s="83">
        <v>28</v>
      </c>
    </row>
    <row r="319" spans="1:9" x14ac:dyDescent="0.35">
      <c r="A319" s="86" t="s">
        <v>2213</v>
      </c>
      <c r="B319" s="232" t="s">
        <v>2219</v>
      </c>
      <c r="C319" s="232" t="s">
        <v>2220</v>
      </c>
      <c r="E319" s="83">
        <v>9</v>
      </c>
      <c r="F319" s="83">
        <v>7</v>
      </c>
      <c r="G319" s="83">
        <v>32.6</v>
      </c>
      <c r="H319" s="83">
        <v>33.299999999999997</v>
      </c>
    </row>
    <row r="320" spans="1:9" ht="15.5" x14ac:dyDescent="0.35">
      <c r="A320" s="86" t="s">
        <v>2213</v>
      </c>
      <c r="B320" s="109" t="s">
        <v>1056</v>
      </c>
      <c r="C320" s="387" t="s">
        <v>1969</v>
      </c>
      <c r="D320" s="393">
        <v>1</v>
      </c>
      <c r="E320" s="83">
        <v>4</v>
      </c>
      <c r="F320" s="83">
        <v>4</v>
      </c>
      <c r="G320" s="83">
        <v>26</v>
      </c>
      <c r="H320" s="83">
        <v>25</v>
      </c>
    </row>
  </sheetData>
  <sortState xmlns:xlrd2="http://schemas.microsoft.com/office/spreadsheetml/2017/richdata2" ref="A2:I137">
    <sortCondition ref="A2:A137"/>
    <sortCondition ref="C2:C137"/>
  </sortState>
  <dataValidations xWindow="219" yWindow="584" count="4">
    <dataValidation type="list" allowBlank="1" showInputMessage="1" showErrorMessage="1" sqref="A2296:A2996 B3 C186:C187 B5:B187 B192 C246:C248 B194:B248 B250 C252:C253 C255 B252:B258 C267 B267:B268 C275:C277 C279:C281 B272:B282 B285:B287 C290:C293 B289:B295 B300 C300:C301 B302:B303 C306:C310 B305:B312 B314:C314 B316:C317 B319:C319 B321:B2996" xr:uid="{82708455-07FA-2945-AFD1-EDD2D8E91807}">
      <formula1>Studies</formula1>
    </dataValidation>
    <dataValidation type="list" allowBlank="1" showInputMessage="1" showErrorMessage="1" errorTitle="This study is not in the list..!" error="This study is not in the list..!" prompt="Select a study from the list. IF you don't find your study you will need to add it first to the STUDIES tab" sqref="B4 B2" xr:uid="{33D2E0E5-B6B4-024A-9EE1-E867BB45F9A4}">
      <formula1>Studies</formula1>
    </dataValidation>
    <dataValidation type="list" allowBlank="1" showInputMessage="1" showErrorMessage="1" sqref="C186:C187 B2:B187 B192 C246:C248 B194:B248 B250 C252:C253 C255 B252:B258 C267 B267:B268 C275:C277 C279:C281 B272:B282 B285:B287 C290:C293 B289:B295 B300 C300:C301 B302:B303 C306:C310 B305:B312 B314:C314 B316:C317 B319:C319 B321:B2996" xr:uid="{EC785DB0-CCA0-4542-9F0B-60D080563C76}">
      <formula1>Treatments</formula1>
    </dataValidation>
    <dataValidation type="list" allowBlank="1" showInputMessage="1" showErrorMessage="1" prompt="Enter one study from the drop down list" sqref="A2:A2295" xr:uid="{340B439A-63A5-1E45-977C-C32144EFD4F3}">
      <formula1>Studies</formula1>
    </dataValidation>
  </dataValidations>
  <pageMargins left="0.70866141732283472" right="0.70866141732283472" top="0.78740157480314965" bottom="0.78740157480314965" header="0.31496062992125984" footer="0.31496062992125984"/>
  <pageSetup paperSize="9" scale="43" fitToHeight="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CF432-3C2E-BD48-91E9-F8C20D47148C}">
  <dimension ref="A1:EG4022"/>
  <sheetViews>
    <sheetView zoomScale="74" zoomScaleNormal="100" workbookViewId="0">
      <pane xSplit="5" ySplit="1" topLeftCell="F2222" activePane="bottomRight" state="frozen"/>
      <selection pane="topRight" activeCell="D1" sqref="D1"/>
      <selection pane="bottomLeft" activeCell="A2" sqref="A2"/>
      <selection pane="bottomRight" activeCell="J836" sqref="J836"/>
    </sheetView>
  </sheetViews>
  <sheetFormatPr defaultColWidth="8.81640625" defaultRowHeight="18" customHeight="1" x14ac:dyDescent="0.35"/>
  <cols>
    <col min="1" max="1" width="5.81640625" style="274" customWidth="1"/>
    <col min="2" max="2" width="44.81640625" style="272" customWidth="1"/>
    <col min="3" max="3" width="13" style="435" customWidth="1"/>
    <col min="4" max="4" width="33" style="281" customWidth="1"/>
    <col min="5" max="5" width="22.81640625" style="272" customWidth="1"/>
    <col min="6" max="6" width="8.453125" style="435" customWidth="1"/>
    <col min="7" max="7" width="18" style="273" customWidth="1"/>
    <col min="8" max="9" width="10" style="273" customWidth="1"/>
    <col min="10" max="10" width="10" style="274" customWidth="1"/>
    <col min="11" max="13" width="10" style="268" customWidth="1"/>
    <col min="14" max="16" width="12" style="268" customWidth="1"/>
    <col min="17" max="17" width="12" style="282" customWidth="1"/>
    <col min="18" max="18" width="9.81640625" style="283" customWidth="1"/>
    <col min="19" max="19" width="8.81640625" style="268" customWidth="1"/>
    <col min="20" max="23" width="6.453125" style="268" customWidth="1"/>
    <col min="24" max="24" width="10.1796875" style="276" customWidth="1"/>
    <col min="25" max="25" width="10" style="268" customWidth="1"/>
    <col min="26" max="26" width="14.453125" style="268" customWidth="1"/>
    <col min="27" max="27" width="5.453125" style="268" bestFit="1" customWidth="1"/>
    <col min="28" max="28" width="5.81640625" style="268" bestFit="1" customWidth="1"/>
    <col min="29" max="29" width="5.81640625" style="268" customWidth="1"/>
    <col min="30" max="30" width="9.453125" style="276" bestFit="1" customWidth="1"/>
    <col min="31" max="31" width="8.453125" style="268" customWidth="1"/>
    <col min="32" max="32" width="10" style="268" customWidth="1"/>
    <col min="33" max="33" width="7.453125" style="268" customWidth="1"/>
    <col min="34" max="35" width="7.453125" style="268" bestFit="1" customWidth="1"/>
    <col min="36" max="36" width="12.453125" style="276" customWidth="1"/>
    <col min="37" max="37" width="9.1796875" style="268" customWidth="1"/>
    <col min="38" max="40" width="9.453125" style="268" customWidth="1"/>
    <col min="41" max="41" width="9.453125" style="275" customWidth="1"/>
    <col min="42" max="46" width="9.453125" style="268" customWidth="1"/>
    <col min="47" max="47" width="9.453125" style="275" customWidth="1"/>
    <col min="48" max="48" width="214.453125" style="268" bestFit="1" customWidth="1"/>
    <col min="49" max="16384" width="8.81640625" style="268"/>
  </cols>
  <sheetData>
    <row r="1" spans="1:137" s="254" customFormat="1" ht="30" customHeight="1" thickBot="1" x14ac:dyDescent="0.4">
      <c r="A1" s="420" t="s">
        <v>1173</v>
      </c>
      <c r="B1" s="248" t="s">
        <v>904</v>
      </c>
      <c r="C1" s="248" t="s">
        <v>1643</v>
      </c>
      <c r="D1" s="247" t="s">
        <v>1036</v>
      </c>
      <c r="E1" s="248" t="s">
        <v>905</v>
      </c>
      <c r="F1" s="248" t="s">
        <v>1640</v>
      </c>
      <c r="G1" s="248" t="s">
        <v>938</v>
      </c>
      <c r="H1" s="248" t="s">
        <v>939</v>
      </c>
      <c r="I1" s="249" t="s">
        <v>370</v>
      </c>
      <c r="J1" s="250" t="s">
        <v>1161</v>
      </c>
      <c r="K1" s="248" t="s">
        <v>907</v>
      </c>
      <c r="L1" s="248" t="s">
        <v>908</v>
      </c>
      <c r="M1" s="248" t="s">
        <v>909</v>
      </c>
      <c r="N1" s="248" t="s">
        <v>914</v>
      </c>
      <c r="O1" s="248" t="s">
        <v>915</v>
      </c>
      <c r="P1" s="248" t="s">
        <v>910</v>
      </c>
      <c r="Q1" s="251" t="s">
        <v>940</v>
      </c>
      <c r="R1" s="252" t="s">
        <v>919</v>
      </c>
      <c r="S1" s="249" t="s">
        <v>920</v>
      </c>
      <c r="T1" s="249" t="s">
        <v>921</v>
      </c>
      <c r="U1" s="248" t="s">
        <v>922</v>
      </c>
      <c r="V1" s="248" t="s">
        <v>923</v>
      </c>
      <c r="W1" s="248" t="s">
        <v>924</v>
      </c>
      <c r="X1" s="252" t="s">
        <v>925</v>
      </c>
      <c r="Y1" s="249" t="s">
        <v>926</v>
      </c>
      <c r="Z1" s="249" t="s">
        <v>927</v>
      </c>
      <c r="AA1" s="248" t="s">
        <v>928</v>
      </c>
      <c r="AB1" s="248" t="s">
        <v>929</v>
      </c>
      <c r="AC1" s="248" t="s">
        <v>930</v>
      </c>
      <c r="AD1" s="252" t="s">
        <v>1416</v>
      </c>
      <c r="AE1" s="249" t="s">
        <v>1417</v>
      </c>
      <c r="AF1" s="249" t="s">
        <v>1418</v>
      </c>
      <c r="AG1" s="248" t="s">
        <v>1419</v>
      </c>
      <c r="AH1" s="248" t="s">
        <v>1420</v>
      </c>
      <c r="AI1" s="248" t="s">
        <v>1421</v>
      </c>
      <c r="AJ1" s="252" t="s">
        <v>931</v>
      </c>
      <c r="AK1" s="249" t="s">
        <v>932</v>
      </c>
      <c r="AL1" s="249" t="s">
        <v>933</v>
      </c>
      <c r="AM1" s="248" t="s">
        <v>934</v>
      </c>
      <c r="AN1" s="248" t="s">
        <v>935</v>
      </c>
      <c r="AO1" s="248" t="s">
        <v>936</v>
      </c>
      <c r="AP1" s="248" t="s">
        <v>1139</v>
      </c>
      <c r="AQ1" s="248" t="s">
        <v>1140</v>
      </c>
      <c r="AR1" s="248" t="s">
        <v>1141</v>
      </c>
      <c r="AS1" s="248" t="s">
        <v>1142</v>
      </c>
      <c r="AT1" s="248" t="s">
        <v>1143</v>
      </c>
      <c r="AU1" s="251" t="s">
        <v>1144</v>
      </c>
      <c r="AV1" s="253" t="s">
        <v>906</v>
      </c>
    </row>
    <row r="2" spans="1:137" ht="18" customHeight="1" x14ac:dyDescent="0.35">
      <c r="A2" s="274">
        <f>MATCH(B2,STUDIES!$A$3:$A$502,0)</f>
        <v>1</v>
      </c>
      <c r="B2" s="256" t="s">
        <v>408</v>
      </c>
      <c r="C2" s="458"/>
      <c r="D2" s="255" t="s">
        <v>1051</v>
      </c>
      <c r="E2" s="256" t="s">
        <v>151</v>
      </c>
      <c r="F2" s="155" t="str">
        <f>_xlfn.XLOOKUP(B2,STUDIES!$A$3:$A$1063,STUDIES!$G$3:$G$1063,"Not Found!")</f>
        <v>A</v>
      </c>
      <c r="G2" s="257" t="s">
        <v>147</v>
      </c>
      <c r="H2" s="257">
        <v>12</v>
      </c>
      <c r="I2" s="257">
        <v>55</v>
      </c>
      <c r="J2" s="258"/>
      <c r="K2" s="259">
        <v>28.4</v>
      </c>
      <c r="L2" s="259">
        <v>1.8</v>
      </c>
      <c r="M2" s="260"/>
      <c r="N2" s="259"/>
      <c r="O2" s="259"/>
      <c r="P2" s="259"/>
      <c r="Q2" s="261" t="s">
        <v>92</v>
      </c>
      <c r="R2" s="262"/>
      <c r="S2" s="263"/>
      <c r="T2" s="259"/>
      <c r="U2" s="259"/>
      <c r="V2" s="259"/>
      <c r="W2" s="259"/>
      <c r="X2" s="264"/>
      <c r="Y2" s="259"/>
      <c r="Z2" s="259"/>
      <c r="AA2" s="259"/>
      <c r="AB2" s="259"/>
      <c r="AC2" s="259"/>
      <c r="AD2" s="264"/>
      <c r="AE2" s="259"/>
      <c r="AF2" s="259"/>
      <c r="AG2" s="259"/>
      <c r="AH2" s="259"/>
      <c r="AI2" s="259"/>
      <c r="AJ2" s="265">
        <v>-74</v>
      </c>
      <c r="AK2" s="266">
        <v>3.6</v>
      </c>
      <c r="AL2" s="266"/>
      <c r="AM2" s="266"/>
      <c r="AN2" s="266"/>
      <c r="AO2" s="267"/>
      <c r="AP2" s="266"/>
      <c r="AQ2" s="266"/>
      <c r="AR2" s="266"/>
      <c r="AS2" s="266"/>
      <c r="AT2" s="266"/>
      <c r="AU2" s="267"/>
    </row>
    <row r="3" spans="1:137" ht="18" customHeight="1" x14ac:dyDescent="0.35">
      <c r="A3" s="274">
        <f>MATCH(B3,STUDIES!$A$3:$A$502,0)</f>
        <v>1</v>
      </c>
      <c r="B3" s="256" t="s">
        <v>408</v>
      </c>
      <c r="C3" s="458"/>
      <c r="D3" s="269" t="s">
        <v>1051</v>
      </c>
      <c r="E3" s="270" t="s">
        <v>695</v>
      </c>
      <c r="F3" s="155" t="str">
        <f>_xlfn.XLOOKUP(B3,STUDIES!$A$3:$A$1063,STUDIES!$G$3:$G$1063,"Not Found!")</f>
        <v>A</v>
      </c>
      <c r="G3" s="257" t="s">
        <v>147</v>
      </c>
      <c r="H3" s="257">
        <v>12</v>
      </c>
      <c r="I3" s="257">
        <v>55</v>
      </c>
      <c r="J3" s="258"/>
      <c r="K3" s="259">
        <v>6.1</v>
      </c>
      <c r="L3" s="259">
        <v>0.2</v>
      </c>
      <c r="M3" s="259"/>
      <c r="N3" s="259"/>
      <c r="O3" s="259"/>
      <c r="P3" s="259"/>
      <c r="Q3" s="271" t="s">
        <v>92</v>
      </c>
      <c r="R3" s="262"/>
      <c r="S3" s="263"/>
      <c r="T3" s="259"/>
      <c r="U3" s="259"/>
      <c r="V3" s="259"/>
      <c r="W3" s="259"/>
      <c r="X3" s="264"/>
      <c r="Y3" s="259"/>
      <c r="Z3" s="259"/>
      <c r="AA3" s="259"/>
      <c r="AB3" s="259"/>
      <c r="AC3" s="259"/>
      <c r="AD3" s="264"/>
      <c r="AE3" s="259"/>
      <c r="AF3" s="259"/>
      <c r="AG3" s="259"/>
      <c r="AH3" s="259"/>
      <c r="AI3" s="259"/>
      <c r="AJ3" s="265">
        <v>-55.7</v>
      </c>
      <c r="AK3" s="266">
        <v>3.8</v>
      </c>
      <c r="AL3" s="266"/>
      <c r="AM3" s="266"/>
      <c r="AN3" s="266"/>
      <c r="AO3" s="267"/>
      <c r="AP3" s="266"/>
      <c r="AQ3" s="266"/>
      <c r="AR3" s="266"/>
      <c r="AS3" s="266"/>
      <c r="AT3" s="266"/>
      <c r="AU3" s="267"/>
    </row>
    <row r="4" spans="1:137" ht="18" customHeight="1" x14ac:dyDescent="0.35">
      <c r="A4" s="274">
        <f>MATCH(B4,STUDIES!$A$3:$A$502,0)</f>
        <v>1</v>
      </c>
      <c r="B4" s="256" t="s">
        <v>408</v>
      </c>
      <c r="C4" s="458"/>
      <c r="D4" s="269" t="s">
        <v>1051</v>
      </c>
      <c r="E4" s="256" t="s">
        <v>347</v>
      </c>
      <c r="F4" s="155" t="str">
        <f>_xlfn.XLOOKUP(B4,STUDIES!$A$3:$A$1063,STUDIES!$G$3:$G$1063,"Not Found!")</f>
        <v>A</v>
      </c>
      <c r="G4" s="257" t="s">
        <v>147</v>
      </c>
      <c r="H4" s="257">
        <v>12</v>
      </c>
      <c r="I4" s="257">
        <v>32</v>
      </c>
      <c r="J4" s="258"/>
      <c r="K4" s="259"/>
      <c r="L4" s="259"/>
      <c r="M4" s="259"/>
      <c r="N4" s="259"/>
      <c r="O4" s="259"/>
      <c r="P4" s="259"/>
      <c r="Q4" s="271" t="s">
        <v>90</v>
      </c>
      <c r="R4" s="262">
        <v>-6.8</v>
      </c>
      <c r="S4" s="263">
        <v>0.9</v>
      </c>
      <c r="T4" s="259"/>
      <c r="U4" s="259"/>
      <c r="V4" s="259"/>
      <c r="W4" s="259"/>
      <c r="X4" s="264"/>
      <c r="Y4" s="259"/>
      <c r="Z4" s="259"/>
      <c r="AA4" s="259"/>
      <c r="AB4" s="259"/>
      <c r="AC4" s="259"/>
      <c r="AD4" s="264"/>
      <c r="AE4" s="259"/>
      <c r="AF4" s="259"/>
      <c r="AG4" s="259"/>
      <c r="AH4" s="259"/>
      <c r="AI4" s="259"/>
      <c r="AJ4" s="265"/>
      <c r="AK4" s="266"/>
      <c r="AL4" s="266"/>
      <c r="AM4" s="266"/>
      <c r="AN4" s="266"/>
      <c r="AO4" s="267"/>
      <c r="AP4" s="266"/>
      <c r="AQ4" s="266"/>
      <c r="AR4" s="266"/>
      <c r="AS4" s="266"/>
      <c r="AT4" s="266"/>
      <c r="AU4" s="267"/>
    </row>
    <row r="5" spans="1:137" ht="18" customHeight="1" x14ac:dyDescent="0.35">
      <c r="A5" s="274">
        <f>MATCH(B5,STUDIES!$A$3:$A$502,0)</f>
        <v>1</v>
      </c>
      <c r="B5" s="272" t="s">
        <v>408</v>
      </c>
      <c r="D5" s="269" t="s">
        <v>1051</v>
      </c>
      <c r="E5" s="272" t="s">
        <v>1163</v>
      </c>
      <c r="F5" s="155" t="str">
        <f>_xlfn.XLOOKUP(B5,STUDIES!$A$3:$A$1063,STUDIES!$G$3:$G$1063,"Not Found!")</f>
        <v>A</v>
      </c>
      <c r="G5" s="273" t="s">
        <v>147</v>
      </c>
      <c r="H5" s="273">
        <v>12</v>
      </c>
      <c r="I5" s="273">
        <v>55</v>
      </c>
      <c r="J5" s="274">
        <v>1</v>
      </c>
      <c r="Q5" s="275"/>
      <c r="R5" s="276"/>
    </row>
    <row r="6" spans="1:137" ht="18" customHeight="1" x14ac:dyDescent="0.35">
      <c r="A6" s="274">
        <f>MATCH(B6,STUDIES!$A$3:$A$502,0)</f>
        <v>1</v>
      </c>
      <c r="B6" s="272" t="s">
        <v>408</v>
      </c>
      <c r="D6" s="281" t="s">
        <v>1051</v>
      </c>
      <c r="E6" s="272" t="s">
        <v>1167</v>
      </c>
      <c r="F6" s="155" t="str">
        <f>_xlfn.XLOOKUP(B6,STUDIES!$A$3:$A$1063,STUDIES!$G$3:$G$1063,"Not Found!")</f>
        <v>A</v>
      </c>
      <c r="G6" s="273" t="s">
        <v>147</v>
      </c>
      <c r="H6" s="273">
        <v>12</v>
      </c>
      <c r="I6" s="273">
        <v>55</v>
      </c>
      <c r="J6" s="274">
        <v>1</v>
      </c>
      <c r="Q6" s="275"/>
      <c r="R6" s="268"/>
    </row>
    <row r="7" spans="1:137" ht="18" customHeight="1" x14ac:dyDescent="0.35">
      <c r="A7" s="274">
        <f>MATCH(B7,STUDIES!$A$3:$A$502,0)</f>
        <v>1</v>
      </c>
      <c r="B7" s="256" t="s">
        <v>408</v>
      </c>
      <c r="C7" s="458"/>
      <c r="D7" s="278" t="s">
        <v>148</v>
      </c>
      <c r="E7" s="256" t="s">
        <v>151</v>
      </c>
      <c r="F7" s="155" t="str">
        <f>_xlfn.XLOOKUP(B7,STUDIES!$A$3:$A$1063,STUDIES!$G$3:$G$1063,"Not Found!")</f>
        <v>A</v>
      </c>
      <c r="G7" s="257" t="s">
        <v>147</v>
      </c>
      <c r="H7" s="257">
        <v>12</v>
      </c>
      <c r="I7" s="257">
        <v>54</v>
      </c>
      <c r="J7" s="258"/>
      <c r="K7" s="259">
        <v>30.8</v>
      </c>
      <c r="L7" s="259">
        <v>1.9</v>
      </c>
      <c r="M7" s="260"/>
      <c r="N7" s="259"/>
      <c r="O7" s="259"/>
      <c r="P7" s="259"/>
      <c r="Q7" s="261" t="s">
        <v>92</v>
      </c>
      <c r="R7" s="263"/>
      <c r="S7" s="263"/>
      <c r="T7" s="259"/>
      <c r="U7" s="259"/>
      <c r="V7" s="259"/>
      <c r="W7" s="259"/>
      <c r="X7" s="264"/>
      <c r="Y7" s="259"/>
      <c r="Z7" s="259"/>
      <c r="AA7" s="259"/>
      <c r="AB7" s="259"/>
      <c r="AC7" s="259"/>
      <c r="AD7" s="264"/>
      <c r="AE7" s="259"/>
      <c r="AF7" s="259"/>
      <c r="AG7" s="259"/>
      <c r="AH7" s="259"/>
      <c r="AI7" s="259"/>
      <c r="AJ7" s="265">
        <v>-23.3</v>
      </c>
      <c r="AK7" s="266">
        <v>6.7</v>
      </c>
      <c r="AL7" s="266"/>
      <c r="AM7" s="266"/>
      <c r="AN7" s="266"/>
      <c r="AO7" s="267"/>
      <c r="AP7" s="266"/>
      <c r="AQ7" s="266"/>
      <c r="AR7" s="266"/>
      <c r="AS7" s="266"/>
      <c r="AT7" s="266"/>
      <c r="AU7" s="267"/>
    </row>
    <row r="8" spans="1:137" ht="18" customHeight="1" x14ac:dyDescent="0.35">
      <c r="A8" s="274">
        <f>MATCH(B8,STUDIES!$A$3:$A$502,0)</f>
        <v>1</v>
      </c>
      <c r="B8" s="256" t="s">
        <v>408</v>
      </c>
      <c r="C8" s="458"/>
      <c r="D8" s="269" t="s">
        <v>148</v>
      </c>
      <c r="E8" s="270" t="s">
        <v>695</v>
      </c>
      <c r="F8" s="155" t="str">
        <f>_xlfn.XLOOKUP(B8,STUDIES!$A$3:$A$1063,STUDIES!$G$3:$G$1063,"Not Found!")</f>
        <v>A</v>
      </c>
      <c r="G8" s="257" t="s">
        <v>147</v>
      </c>
      <c r="H8" s="257">
        <v>12</v>
      </c>
      <c r="I8" s="257">
        <v>54</v>
      </c>
      <c r="J8" s="258"/>
      <c r="K8" s="259">
        <v>5.8</v>
      </c>
      <c r="L8" s="259">
        <v>0.3</v>
      </c>
      <c r="M8" s="259"/>
      <c r="N8" s="259"/>
      <c r="O8" s="259"/>
      <c r="P8" s="259"/>
      <c r="Q8" s="279" t="s">
        <v>92</v>
      </c>
      <c r="R8" s="280"/>
      <c r="S8" s="263"/>
      <c r="T8" s="259"/>
      <c r="U8" s="259"/>
      <c r="V8" s="259"/>
      <c r="W8" s="259"/>
      <c r="X8" s="264"/>
      <c r="Y8" s="259"/>
      <c r="Z8" s="259"/>
      <c r="AA8" s="259"/>
      <c r="AB8" s="259"/>
      <c r="AC8" s="259"/>
      <c r="AD8" s="264"/>
      <c r="AE8" s="259"/>
      <c r="AF8" s="259"/>
      <c r="AG8" s="259"/>
      <c r="AH8" s="259"/>
      <c r="AI8" s="259"/>
      <c r="AJ8" s="265">
        <v>-15.1</v>
      </c>
      <c r="AK8" s="263">
        <v>5.7</v>
      </c>
      <c r="AL8" s="266"/>
      <c r="AM8" s="266"/>
      <c r="AN8" s="266"/>
      <c r="AO8" s="267"/>
      <c r="AP8" s="266"/>
      <c r="AQ8" s="266"/>
      <c r="AR8" s="266"/>
      <c r="AS8" s="266"/>
      <c r="AT8" s="266"/>
      <c r="AU8" s="267"/>
    </row>
    <row r="9" spans="1:137" ht="18" customHeight="1" x14ac:dyDescent="0.35">
      <c r="A9" s="274">
        <f>MATCH(B9,STUDIES!$A$3:$A$502,0)</f>
        <v>1</v>
      </c>
      <c r="B9" s="256" t="s">
        <v>408</v>
      </c>
      <c r="C9" s="458"/>
      <c r="D9" s="278" t="s">
        <v>148</v>
      </c>
      <c r="E9" s="256" t="s">
        <v>347</v>
      </c>
      <c r="F9" s="155" t="str">
        <f>_xlfn.XLOOKUP(B9,STUDIES!$A$3:$A$1063,STUDIES!$G$3:$G$1063,"Not Found!")</f>
        <v>A</v>
      </c>
      <c r="G9" s="257" t="s">
        <v>147</v>
      </c>
      <c r="H9" s="257">
        <v>12</v>
      </c>
      <c r="I9" s="257">
        <v>32</v>
      </c>
      <c r="J9" s="258"/>
      <c r="K9" s="259"/>
      <c r="L9" s="259"/>
      <c r="M9" s="259"/>
      <c r="N9" s="259"/>
      <c r="O9" s="259"/>
      <c r="P9" s="259"/>
      <c r="Q9" s="279" t="s">
        <v>90</v>
      </c>
      <c r="R9" s="280">
        <v>-1.1000000000000001</v>
      </c>
      <c r="S9" s="263">
        <v>1.07</v>
      </c>
      <c r="T9" s="259"/>
      <c r="U9" s="259"/>
      <c r="V9" s="259"/>
      <c r="W9" s="259"/>
      <c r="X9" s="264"/>
      <c r="Y9" s="259"/>
      <c r="Z9" s="259"/>
      <c r="AA9" s="259"/>
      <c r="AB9" s="259"/>
      <c r="AC9" s="259"/>
      <c r="AD9" s="264"/>
      <c r="AE9" s="259"/>
      <c r="AF9" s="259"/>
      <c r="AG9" s="259"/>
      <c r="AH9" s="259"/>
      <c r="AI9" s="259"/>
      <c r="AJ9" s="265"/>
      <c r="AK9" s="266"/>
      <c r="AL9" s="266"/>
      <c r="AM9" s="266"/>
      <c r="AN9" s="266"/>
      <c r="AO9" s="267"/>
      <c r="AP9" s="266"/>
      <c r="AQ9" s="266"/>
      <c r="AR9" s="266"/>
      <c r="AS9" s="266"/>
      <c r="AT9" s="266"/>
      <c r="AU9" s="267"/>
    </row>
    <row r="10" spans="1:137" ht="18" customHeight="1" x14ac:dyDescent="0.35">
      <c r="A10" s="274">
        <f>MATCH(B10,STUDIES!$A$3:$A$502,0)</f>
        <v>1</v>
      </c>
      <c r="B10" s="272" t="s">
        <v>408</v>
      </c>
      <c r="D10" s="281" t="s">
        <v>148</v>
      </c>
      <c r="E10" s="272" t="s">
        <v>1163</v>
      </c>
      <c r="F10" s="155" t="str">
        <f>_xlfn.XLOOKUP(B10,STUDIES!$A$3:$A$1063,STUDIES!$G$3:$G$1063,"Not Found!")</f>
        <v>A</v>
      </c>
      <c r="G10" s="273" t="s">
        <v>147</v>
      </c>
      <c r="H10" s="273">
        <v>12</v>
      </c>
      <c r="I10" s="273">
        <v>54</v>
      </c>
      <c r="J10" s="274">
        <v>7</v>
      </c>
    </row>
    <row r="11" spans="1:137" ht="18" customHeight="1" x14ac:dyDescent="0.35">
      <c r="A11" s="274">
        <f>MATCH(B11,STUDIES!$A$3:$A$502,0)</f>
        <v>1</v>
      </c>
      <c r="B11" s="272" t="s">
        <v>408</v>
      </c>
      <c r="D11" s="281" t="s">
        <v>148</v>
      </c>
      <c r="E11" s="272" t="s">
        <v>1167</v>
      </c>
      <c r="F11" s="155" t="str">
        <f>_xlfn.XLOOKUP(B11,STUDIES!$A$3:$A$1063,STUDIES!$G$3:$G$1063,"Not Found!")</f>
        <v>A</v>
      </c>
      <c r="G11" s="273" t="s">
        <v>147</v>
      </c>
      <c r="H11" s="273">
        <v>12</v>
      </c>
      <c r="I11" s="273">
        <v>54</v>
      </c>
      <c r="J11" s="274">
        <v>3</v>
      </c>
    </row>
    <row r="12" spans="1:137" s="284" customFormat="1" ht="18" customHeight="1" x14ac:dyDescent="0.35">
      <c r="A12" s="274">
        <f>MATCH(B12,STUDIES!$A$3:$A$502,0)</f>
        <v>2</v>
      </c>
      <c r="B12" s="272" t="s">
        <v>311</v>
      </c>
      <c r="C12" s="435"/>
      <c r="D12" s="281" t="s">
        <v>1047</v>
      </c>
      <c r="E12" s="272" t="s">
        <v>1167</v>
      </c>
      <c r="F12" s="155" t="str">
        <f>_xlfn.XLOOKUP(B12,STUDIES!$A$3:$A$1063,STUDIES!$G$3:$G$1063,"Not Found!")</f>
        <v>C</v>
      </c>
      <c r="G12" s="273" t="s">
        <v>147</v>
      </c>
      <c r="H12" s="273">
        <v>12</v>
      </c>
      <c r="I12" s="273">
        <v>8</v>
      </c>
      <c r="J12" s="274">
        <v>0</v>
      </c>
      <c r="K12" s="268"/>
      <c r="L12" s="268"/>
      <c r="M12" s="268"/>
      <c r="N12" s="268"/>
      <c r="O12" s="268"/>
      <c r="P12" s="268"/>
      <c r="Q12" s="282"/>
      <c r="R12" s="314"/>
      <c r="S12" s="268"/>
      <c r="T12" s="268"/>
      <c r="U12" s="268"/>
      <c r="V12" s="268"/>
      <c r="W12" s="268"/>
      <c r="X12" s="276"/>
      <c r="Y12" s="268"/>
      <c r="Z12" s="268"/>
      <c r="AA12" s="268"/>
      <c r="AB12" s="268"/>
      <c r="AC12" s="268"/>
      <c r="AD12" s="276"/>
      <c r="AE12" s="268"/>
      <c r="AF12" s="268"/>
      <c r="AG12" s="268"/>
      <c r="AH12" s="268"/>
      <c r="AI12" s="268"/>
      <c r="AJ12" s="276"/>
      <c r="AK12" s="268"/>
      <c r="AL12" s="268"/>
      <c r="AM12" s="268"/>
      <c r="AN12" s="268"/>
      <c r="AO12" s="275"/>
      <c r="AP12" s="268"/>
      <c r="AQ12" s="268"/>
      <c r="AR12" s="268"/>
      <c r="AS12" s="268"/>
      <c r="AT12" s="268"/>
      <c r="AU12" s="275"/>
      <c r="AV12" s="268"/>
      <c r="AW12" s="268"/>
      <c r="AX12" s="268"/>
      <c r="AY12" s="268"/>
      <c r="AZ12" s="268"/>
      <c r="BA12" s="268"/>
      <c r="BB12" s="268"/>
      <c r="BC12" s="268"/>
      <c r="BD12" s="268"/>
      <c r="BE12" s="268"/>
      <c r="BF12" s="268"/>
      <c r="BG12" s="268"/>
      <c r="BH12" s="268"/>
      <c r="BI12" s="268"/>
      <c r="BJ12" s="268"/>
      <c r="BK12" s="268"/>
      <c r="BL12" s="268"/>
      <c r="BM12" s="268"/>
      <c r="BN12" s="268"/>
      <c r="BO12" s="268"/>
      <c r="BP12" s="268"/>
      <c r="BQ12" s="268"/>
      <c r="BR12" s="268"/>
      <c r="BS12" s="268"/>
      <c r="BT12" s="268"/>
      <c r="BU12" s="268"/>
      <c r="BV12" s="268"/>
      <c r="BW12" s="268"/>
      <c r="BX12" s="268"/>
      <c r="BY12" s="268"/>
      <c r="BZ12" s="268"/>
      <c r="CA12" s="268"/>
      <c r="CB12" s="268"/>
      <c r="CC12" s="268"/>
      <c r="CD12" s="268"/>
      <c r="CE12" s="268"/>
      <c r="CF12" s="268"/>
      <c r="CG12" s="268"/>
      <c r="CH12" s="268"/>
      <c r="CI12" s="268"/>
      <c r="CJ12" s="268"/>
      <c r="CK12" s="268"/>
      <c r="CL12" s="268"/>
      <c r="CM12" s="268"/>
      <c r="CN12" s="268"/>
      <c r="CO12" s="268"/>
      <c r="CP12" s="268"/>
      <c r="CQ12" s="268"/>
      <c r="CR12" s="268"/>
      <c r="CS12" s="268"/>
      <c r="CT12" s="268"/>
      <c r="CU12" s="268"/>
      <c r="CV12" s="268"/>
      <c r="CW12" s="268"/>
      <c r="CX12" s="268"/>
      <c r="CY12" s="268"/>
      <c r="CZ12" s="268"/>
      <c r="DA12" s="268"/>
      <c r="DB12" s="268"/>
      <c r="DC12" s="268"/>
      <c r="DD12" s="268"/>
      <c r="DE12" s="268"/>
      <c r="DF12" s="268"/>
      <c r="DG12" s="268"/>
      <c r="DH12" s="268"/>
      <c r="DI12" s="268"/>
      <c r="DJ12" s="268"/>
      <c r="DK12" s="268"/>
      <c r="DL12" s="268"/>
      <c r="DM12" s="268"/>
      <c r="DN12" s="268"/>
      <c r="DO12" s="268"/>
      <c r="DP12" s="268"/>
      <c r="DQ12" s="268"/>
      <c r="DR12" s="268"/>
      <c r="DS12" s="268"/>
      <c r="DT12" s="268"/>
      <c r="DU12" s="268"/>
      <c r="DV12" s="268"/>
      <c r="DW12" s="268"/>
      <c r="DX12" s="268"/>
      <c r="DY12" s="268"/>
      <c r="DZ12" s="268"/>
      <c r="EA12" s="268"/>
      <c r="EB12" s="268"/>
      <c r="EC12" s="268"/>
      <c r="ED12" s="268"/>
      <c r="EE12" s="268"/>
      <c r="EF12" s="268"/>
      <c r="EG12" s="268"/>
    </row>
    <row r="13" spans="1:137" s="284" customFormat="1" ht="18" customHeight="1" x14ac:dyDescent="0.35">
      <c r="A13" s="274">
        <f>MATCH(B13,STUDIES!$A$3:$A$502,0)</f>
        <v>2</v>
      </c>
      <c r="B13" s="272" t="s">
        <v>311</v>
      </c>
      <c r="C13" s="435"/>
      <c r="D13" s="281" t="s">
        <v>1066</v>
      </c>
      <c r="E13" s="272" t="s">
        <v>1167</v>
      </c>
      <c r="F13" s="155" t="str">
        <f>_xlfn.XLOOKUP(B13,STUDIES!$A$3:$A$1063,STUDIES!$G$3:$G$1063,"Not Found!")</f>
        <v>C</v>
      </c>
      <c r="G13" s="273" t="s">
        <v>147</v>
      </c>
      <c r="H13" s="273">
        <v>12</v>
      </c>
      <c r="I13" s="273">
        <v>6</v>
      </c>
      <c r="J13" s="274">
        <v>0</v>
      </c>
      <c r="K13" s="268"/>
      <c r="L13" s="268"/>
      <c r="M13" s="268"/>
      <c r="N13" s="268"/>
      <c r="O13" s="268"/>
      <c r="P13" s="268"/>
      <c r="Q13" s="282"/>
      <c r="R13" s="314"/>
      <c r="S13" s="268"/>
      <c r="T13" s="268"/>
      <c r="U13" s="268"/>
      <c r="V13" s="268"/>
      <c r="W13" s="268"/>
      <c r="X13" s="276"/>
      <c r="Y13" s="268"/>
      <c r="Z13" s="268"/>
      <c r="AA13" s="268"/>
      <c r="AB13" s="268"/>
      <c r="AC13" s="268"/>
      <c r="AD13" s="276"/>
      <c r="AE13" s="268"/>
      <c r="AF13" s="268"/>
      <c r="AG13" s="268"/>
      <c r="AH13" s="268"/>
      <c r="AI13" s="268"/>
      <c r="AJ13" s="276"/>
      <c r="AK13" s="268"/>
      <c r="AL13" s="268"/>
      <c r="AM13" s="268"/>
      <c r="AN13" s="268"/>
      <c r="AO13" s="275"/>
      <c r="AP13" s="268"/>
      <c r="AQ13" s="268"/>
      <c r="AR13" s="268"/>
      <c r="AS13" s="268"/>
      <c r="AT13" s="268"/>
      <c r="AU13" s="275"/>
      <c r="AV13" s="268"/>
      <c r="AW13" s="268"/>
      <c r="AX13" s="268"/>
      <c r="AY13" s="268"/>
      <c r="AZ13" s="268"/>
      <c r="BA13" s="268"/>
      <c r="BB13" s="268"/>
      <c r="BC13" s="268"/>
      <c r="BD13" s="268"/>
      <c r="BE13" s="268"/>
      <c r="BF13" s="268"/>
      <c r="BG13" s="268"/>
      <c r="BH13" s="268"/>
      <c r="BI13" s="268"/>
      <c r="BJ13" s="268"/>
      <c r="BK13" s="268"/>
      <c r="BL13" s="268"/>
      <c r="BM13" s="268"/>
      <c r="BN13" s="268"/>
      <c r="BO13" s="268"/>
      <c r="BP13" s="268"/>
      <c r="BQ13" s="268"/>
      <c r="BR13" s="268"/>
      <c r="BS13" s="268"/>
      <c r="BT13" s="268"/>
      <c r="BU13" s="268"/>
      <c r="BV13" s="268"/>
      <c r="BW13" s="268"/>
      <c r="BX13" s="268"/>
      <c r="BY13" s="268"/>
      <c r="BZ13" s="268"/>
      <c r="CA13" s="268"/>
      <c r="CB13" s="268"/>
      <c r="CC13" s="268"/>
      <c r="CD13" s="268"/>
      <c r="CE13" s="268"/>
      <c r="CF13" s="268"/>
      <c r="CG13" s="268"/>
      <c r="CH13" s="268"/>
      <c r="CI13" s="268"/>
      <c r="CJ13" s="268"/>
      <c r="CK13" s="268"/>
      <c r="CL13" s="268"/>
      <c r="CM13" s="268"/>
      <c r="CN13" s="268"/>
      <c r="CO13" s="268"/>
      <c r="CP13" s="268"/>
      <c r="CQ13" s="268"/>
      <c r="CR13" s="268"/>
      <c r="CS13" s="268"/>
      <c r="CT13" s="268"/>
      <c r="CU13" s="268"/>
      <c r="CV13" s="268"/>
      <c r="CW13" s="268"/>
      <c r="CX13" s="268"/>
      <c r="CY13" s="268"/>
      <c r="CZ13" s="268"/>
      <c r="DA13" s="268"/>
      <c r="DB13" s="268"/>
      <c r="DC13" s="268"/>
      <c r="DD13" s="268"/>
      <c r="DE13" s="268"/>
      <c r="DF13" s="268"/>
      <c r="DG13" s="268"/>
      <c r="DH13" s="268"/>
      <c r="DI13" s="268"/>
      <c r="DJ13" s="268"/>
      <c r="DK13" s="268"/>
      <c r="DL13" s="268"/>
      <c r="DM13" s="268"/>
      <c r="DN13" s="268"/>
      <c r="DO13" s="268"/>
      <c r="DP13" s="268"/>
      <c r="DQ13" s="268"/>
      <c r="DR13" s="268"/>
      <c r="DS13" s="268"/>
      <c r="DT13" s="268"/>
      <c r="DU13" s="268"/>
      <c r="DV13" s="268"/>
      <c r="DW13" s="268"/>
      <c r="DX13" s="268"/>
      <c r="DY13" s="268"/>
      <c r="DZ13" s="268"/>
      <c r="EA13" s="268"/>
      <c r="EB13" s="268"/>
      <c r="EC13" s="268"/>
      <c r="ED13" s="268"/>
      <c r="EE13" s="268"/>
      <c r="EF13" s="268"/>
      <c r="EG13" s="268"/>
    </row>
    <row r="14" spans="1:137" ht="18" customHeight="1" x14ac:dyDescent="0.35">
      <c r="A14" s="274">
        <f>MATCH(B14,STUDIES!$A$3:$A$502,0)</f>
        <v>3</v>
      </c>
      <c r="B14" s="256" t="s">
        <v>310</v>
      </c>
      <c r="C14" s="458"/>
      <c r="D14" s="278" t="s">
        <v>1040</v>
      </c>
      <c r="E14" s="285" t="s">
        <v>146</v>
      </c>
      <c r="F14" s="155" t="str">
        <f>_xlfn.XLOOKUP(B14,STUDIES!$A$3:$A$1063,STUDIES!$G$3:$G$1063,"Not Found!")</f>
        <v>A</v>
      </c>
      <c r="G14" s="286" t="s">
        <v>147</v>
      </c>
      <c r="H14" s="286">
        <v>12</v>
      </c>
      <c r="I14" s="257">
        <v>18</v>
      </c>
      <c r="J14" s="258"/>
      <c r="K14" s="259">
        <v>45.019000000000005</v>
      </c>
      <c r="L14" s="259">
        <v>3.8369499999999999</v>
      </c>
      <c r="M14" s="259"/>
      <c r="N14" s="259"/>
      <c r="O14" s="259"/>
      <c r="P14" s="259"/>
      <c r="Q14" s="279" t="s">
        <v>150</v>
      </c>
      <c r="R14" s="259"/>
      <c r="S14" s="259"/>
      <c r="T14" s="259"/>
      <c r="U14" s="259"/>
      <c r="V14" s="259"/>
      <c r="W14" s="259"/>
      <c r="X14" s="287">
        <v>35.014699999999998</v>
      </c>
      <c r="Y14" s="288">
        <v>3.6135500000000009</v>
      </c>
      <c r="Z14" s="259"/>
      <c r="AA14" s="259"/>
      <c r="AB14" s="259"/>
      <c r="AC14" s="259"/>
      <c r="AD14" s="264"/>
      <c r="AE14" s="260"/>
      <c r="AF14" s="260"/>
      <c r="AG14" s="260"/>
      <c r="AH14" s="260"/>
      <c r="AI14" s="260"/>
      <c r="AJ14" s="265"/>
      <c r="AK14" s="266"/>
      <c r="AL14" s="266"/>
      <c r="AM14" s="266"/>
      <c r="AN14" s="266"/>
      <c r="AO14" s="267"/>
      <c r="AP14" s="266"/>
      <c r="AQ14" s="266"/>
      <c r="AR14" s="266"/>
      <c r="AS14" s="266"/>
      <c r="AT14" s="266"/>
      <c r="AU14" s="267"/>
    </row>
    <row r="15" spans="1:137" ht="18" customHeight="1" x14ac:dyDescent="0.35">
      <c r="A15" s="274">
        <f>MATCH(B15,STUDIES!$A$3:$A$502,0)</f>
        <v>3</v>
      </c>
      <c r="B15" s="272" t="s">
        <v>310</v>
      </c>
      <c r="D15" s="281" t="s">
        <v>1040</v>
      </c>
      <c r="E15" s="272" t="s">
        <v>1167</v>
      </c>
      <c r="F15" s="155" t="str">
        <f>_xlfn.XLOOKUP(B15,STUDIES!$A$3:$A$1063,STUDIES!$G$3:$G$1063,"Not Found!")</f>
        <v>A</v>
      </c>
      <c r="G15" s="273" t="s">
        <v>147</v>
      </c>
      <c r="H15" s="273">
        <v>12</v>
      </c>
      <c r="I15" s="273">
        <v>19</v>
      </c>
      <c r="J15" s="274">
        <v>3</v>
      </c>
    </row>
    <row r="16" spans="1:137" ht="18" customHeight="1" x14ac:dyDescent="0.35">
      <c r="A16" s="274">
        <f>MATCH(B16,STUDIES!$A$3:$A$502,0)</f>
        <v>3</v>
      </c>
      <c r="B16" s="256" t="s">
        <v>310</v>
      </c>
      <c r="C16" s="458"/>
      <c r="D16" s="278" t="s">
        <v>148</v>
      </c>
      <c r="E16" s="256" t="s">
        <v>146</v>
      </c>
      <c r="F16" s="155" t="str">
        <f>_xlfn.XLOOKUP(B16,STUDIES!$A$3:$A$1063,STUDIES!$G$3:$G$1063,"Not Found!")</f>
        <v>A</v>
      </c>
      <c r="G16" s="286" t="s">
        <v>147</v>
      </c>
      <c r="H16" s="286">
        <v>12</v>
      </c>
      <c r="I16" s="257">
        <v>17</v>
      </c>
      <c r="J16" s="258"/>
      <c r="K16" s="259">
        <v>37.053200000000004</v>
      </c>
      <c r="L16" s="259">
        <v>3.1360000000000028</v>
      </c>
      <c r="M16" s="259"/>
      <c r="N16" s="259"/>
      <c r="O16" s="259"/>
      <c r="P16" s="259"/>
      <c r="Q16" s="279" t="s">
        <v>150</v>
      </c>
      <c r="R16" s="289"/>
      <c r="S16" s="259"/>
      <c r="T16" s="259"/>
      <c r="U16" s="259"/>
      <c r="V16" s="259"/>
      <c r="W16" s="259"/>
      <c r="X16" s="287">
        <v>35.040350000000004</v>
      </c>
      <c r="Y16" s="288">
        <v>3.9451499999999982</v>
      </c>
      <c r="Z16" s="259"/>
      <c r="AA16" s="259"/>
      <c r="AB16" s="259"/>
      <c r="AC16" s="259"/>
      <c r="AD16" s="264"/>
      <c r="AE16" s="260"/>
      <c r="AF16" s="260"/>
      <c r="AG16" s="260"/>
      <c r="AH16" s="260"/>
      <c r="AI16" s="260"/>
      <c r="AJ16" s="265"/>
      <c r="AK16" s="266"/>
      <c r="AL16" s="266"/>
      <c r="AM16" s="266"/>
      <c r="AN16" s="266"/>
      <c r="AO16" s="267"/>
      <c r="AP16" s="266"/>
      <c r="AQ16" s="266"/>
      <c r="AR16" s="266"/>
      <c r="AS16" s="266"/>
      <c r="AT16" s="266"/>
      <c r="AU16" s="267"/>
    </row>
    <row r="17" spans="1:47" ht="18" customHeight="1" x14ac:dyDescent="0.35">
      <c r="A17" s="274">
        <f>MATCH(B17,STUDIES!$A$3:$A$502,0)</f>
        <v>3</v>
      </c>
      <c r="B17" s="272" t="s">
        <v>310</v>
      </c>
      <c r="D17" s="281" t="s">
        <v>148</v>
      </c>
      <c r="E17" s="272" t="s">
        <v>1167</v>
      </c>
      <c r="F17" s="155" t="str">
        <f>_xlfn.XLOOKUP(B17,STUDIES!$A$3:$A$1063,STUDIES!$G$3:$G$1063,"Not Found!")</f>
        <v>A</v>
      </c>
      <c r="G17" s="273" t="s">
        <v>147</v>
      </c>
      <c r="H17" s="273">
        <v>12</v>
      </c>
      <c r="I17" s="273">
        <v>18</v>
      </c>
      <c r="J17" s="274">
        <v>0</v>
      </c>
      <c r="R17" s="276"/>
    </row>
    <row r="18" spans="1:47" ht="18" customHeight="1" x14ac:dyDescent="0.35">
      <c r="A18" s="274">
        <f>MATCH(B18,STUDIES!$A$3:$A$502,0)</f>
        <v>4</v>
      </c>
      <c r="B18" s="256" t="s">
        <v>357</v>
      </c>
      <c r="C18" s="458"/>
      <c r="D18" s="269" t="s">
        <v>1059</v>
      </c>
      <c r="E18" s="256" t="s">
        <v>154</v>
      </c>
      <c r="F18" s="155" t="str">
        <f>_xlfn.XLOOKUP(B18,STUDIES!$A$3:$A$1063,STUDIES!$G$3:$G$1063,"Not Found!")</f>
        <v>A</v>
      </c>
      <c r="G18" s="257" t="s">
        <v>147</v>
      </c>
      <c r="H18" s="257">
        <v>16</v>
      </c>
      <c r="I18" s="257">
        <v>319</v>
      </c>
      <c r="J18" s="258"/>
      <c r="K18" s="259"/>
      <c r="L18" s="259"/>
      <c r="M18" s="259"/>
      <c r="N18" s="259"/>
      <c r="O18" s="259"/>
      <c r="P18" s="259"/>
      <c r="Q18" s="279" t="s">
        <v>90</v>
      </c>
      <c r="R18" s="264">
        <v>-10.5</v>
      </c>
      <c r="S18" s="263">
        <v>0.3</v>
      </c>
      <c r="T18" s="259"/>
      <c r="U18" s="259"/>
      <c r="V18" s="259"/>
      <c r="W18" s="259"/>
      <c r="X18" s="264"/>
      <c r="Y18" s="259"/>
      <c r="Z18" s="259"/>
      <c r="AA18" s="259"/>
      <c r="AB18" s="259"/>
      <c r="AC18" s="259"/>
      <c r="AD18" s="264"/>
      <c r="AE18" s="259"/>
      <c r="AF18" s="259"/>
      <c r="AG18" s="259"/>
      <c r="AH18" s="259"/>
      <c r="AI18" s="259"/>
      <c r="AJ18" s="265"/>
      <c r="AK18" s="266"/>
      <c r="AL18" s="266"/>
      <c r="AM18" s="266"/>
      <c r="AN18" s="266"/>
      <c r="AO18" s="267"/>
      <c r="AP18" s="266"/>
      <c r="AQ18" s="266"/>
      <c r="AR18" s="266"/>
      <c r="AS18" s="266"/>
      <c r="AT18" s="266"/>
      <c r="AU18" s="267"/>
    </row>
    <row r="19" spans="1:47" ht="18" customHeight="1" x14ac:dyDescent="0.35">
      <c r="A19" s="274">
        <f>MATCH(B19,STUDIES!$A$3:$A$502,0)</f>
        <v>4</v>
      </c>
      <c r="B19" s="256" t="s">
        <v>357</v>
      </c>
      <c r="C19" s="458"/>
      <c r="D19" s="269" t="s">
        <v>1059</v>
      </c>
      <c r="E19" s="256" t="s">
        <v>154</v>
      </c>
      <c r="F19" s="155" t="str">
        <f>_xlfn.XLOOKUP(B19,STUDIES!$A$3:$A$1063,STUDIES!$G$3:$G$1063,"Not Found!")</f>
        <v>A</v>
      </c>
      <c r="G19" s="257" t="s">
        <v>152</v>
      </c>
      <c r="H19" s="257">
        <v>52</v>
      </c>
      <c r="I19" s="257">
        <v>270</v>
      </c>
      <c r="J19" s="258"/>
      <c r="K19" s="259"/>
      <c r="L19" s="259"/>
      <c r="M19" s="259"/>
      <c r="N19" s="259"/>
      <c r="O19" s="259"/>
      <c r="P19" s="259"/>
      <c r="Q19" s="279" t="s">
        <v>90</v>
      </c>
      <c r="R19" s="264">
        <v>-10.7</v>
      </c>
      <c r="S19" s="263">
        <v>0.36</v>
      </c>
      <c r="T19" s="259"/>
      <c r="U19" s="259"/>
      <c r="V19" s="259"/>
      <c r="W19" s="259"/>
      <c r="X19" s="264"/>
      <c r="Y19" s="259"/>
      <c r="Z19" s="259"/>
      <c r="AA19" s="259"/>
      <c r="AB19" s="259"/>
      <c r="AC19" s="259"/>
      <c r="AD19" s="264"/>
      <c r="AE19" s="259"/>
      <c r="AF19" s="259"/>
      <c r="AG19" s="259"/>
      <c r="AH19" s="259"/>
      <c r="AI19" s="259"/>
      <c r="AJ19" s="265"/>
      <c r="AK19" s="266"/>
      <c r="AL19" s="266"/>
      <c r="AM19" s="266"/>
      <c r="AN19" s="266"/>
      <c r="AO19" s="267"/>
      <c r="AP19" s="266"/>
      <c r="AQ19" s="266"/>
      <c r="AR19" s="266"/>
      <c r="AS19" s="266"/>
      <c r="AT19" s="266"/>
      <c r="AU19" s="267"/>
    </row>
    <row r="20" spans="1:47" ht="18" customHeight="1" x14ac:dyDescent="0.35">
      <c r="A20" s="274">
        <f>MATCH(B20,STUDIES!$A$3:$A$502,0)</f>
        <v>4</v>
      </c>
      <c r="B20" s="256" t="s">
        <v>357</v>
      </c>
      <c r="C20" s="458"/>
      <c r="D20" s="269" t="s">
        <v>1059</v>
      </c>
      <c r="E20" s="256" t="s">
        <v>151</v>
      </c>
      <c r="F20" s="155" t="str">
        <f>_xlfn.XLOOKUP(B20,STUDIES!$A$3:$A$1063,STUDIES!$G$3:$G$1063,"Not Found!")</f>
        <v>A</v>
      </c>
      <c r="G20" s="257" t="s">
        <v>147</v>
      </c>
      <c r="H20" s="257">
        <v>16</v>
      </c>
      <c r="I20" s="257">
        <v>319</v>
      </c>
      <c r="J20" s="258"/>
      <c r="K20" s="259">
        <v>32.1</v>
      </c>
      <c r="L20" s="259"/>
      <c r="M20" s="259">
        <v>12.76</v>
      </c>
      <c r="N20" s="259"/>
      <c r="O20" s="259"/>
      <c r="P20" s="259"/>
      <c r="Q20" s="290" t="s">
        <v>92</v>
      </c>
      <c r="R20" s="280"/>
      <c r="S20" s="259"/>
      <c r="T20" s="263"/>
      <c r="U20" s="263"/>
      <c r="V20" s="263"/>
      <c r="W20" s="263"/>
      <c r="X20" s="264"/>
      <c r="Y20" s="259"/>
      <c r="Z20" s="259"/>
      <c r="AA20" s="259"/>
      <c r="AB20" s="259"/>
      <c r="AC20" s="259"/>
      <c r="AD20" s="264"/>
      <c r="AE20" s="259"/>
      <c r="AF20" s="259"/>
      <c r="AG20" s="259"/>
      <c r="AH20" s="259"/>
      <c r="AI20" s="259"/>
      <c r="AJ20" s="265">
        <v>-77.3</v>
      </c>
      <c r="AK20" s="266">
        <v>2.2200000000000002</v>
      </c>
      <c r="AL20" s="266"/>
      <c r="AM20" s="266"/>
      <c r="AN20" s="266"/>
      <c r="AO20" s="267"/>
      <c r="AP20" s="266"/>
      <c r="AQ20" s="266"/>
      <c r="AR20" s="266"/>
      <c r="AS20" s="266"/>
      <c r="AT20" s="266"/>
      <c r="AU20" s="267"/>
    </row>
    <row r="21" spans="1:47" ht="18" customHeight="1" x14ac:dyDescent="0.35">
      <c r="A21" s="274">
        <f>MATCH(B21,STUDIES!$A$3:$A$502,0)</f>
        <v>4</v>
      </c>
      <c r="B21" s="256" t="s">
        <v>357</v>
      </c>
      <c r="C21" s="458"/>
      <c r="D21" s="269" t="s">
        <v>1059</v>
      </c>
      <c r="E21" s="256" t="s">
        <v>151</v>
      </c>
      <c r="F21" s="155" t="str">
        <f>_xlfn.XLOOKUP(B21,STUDIES!$A$3:$A$1063,STUDIES!$G$3:$G$1063,"Not Found!")</f>
        <v>A</v>
      </c>
      <c r="G21" s="257" t="s">
        <v>152</v>
      </c>
      <c r="H21" s="257">
        <v>52</v>
      </c>
      <c r="I21" s="257">
        <v>270</v>
      </c>
      <c r="J21" s="258"/>
      <c r="K21" s="259">
        <v>32.1</v>
      </c>
      <c r="L21" s="259"/>
      <c r="M21" s="259">
        <v>12.76</v>
      </c>
      <c r="N21" s="259"/>
      <c r="O21" s="259"/>
      <c r="P21" s="259"/>
      <c r="Q21" s="290" t="s">
        <v>92</v>
      </c>
      <c r="R21" s="291"/>
      <c r="S21" s="259"/>
      <c r="T21" s="263"/>
      <c r="U21" s="263"/>
      <c r="V21" s="263"/>
      <c r="W21" s="263"/>
      <c r="X21" s="264"/>
      <c r="Y21" s="259"/>
      <c r="Z21" s="259"/>
      <c r="AA21" s="259"/>
      <c r="AB21" s="259"/>
      <c r="AC21" s="259"/>
      <c r="AD21" s="264"/>
      <c r="AE21" s="259"/>
      <c r="AF21" s="259"/>
      <c r="AG21" s="259"/>
      <c r="AH21" s="259"/>
      <c r="AI21" s="259"/>
      <c r="AJ21" s="265">
        <v>-80.3</v>
      </c>
      <c r="AK21" s="266">
        <v>2.64</v>
      </c>
      <c r="AL21" s="266"/>
      <c r="AM21" s="266"/>
      <c r="AN21" s="266"/>
      <c r="AO21" s="267"/>
      <c r="AP21" s="266"/>
      <c r="AQ21" s="266"/>
      <c r="AR21" s="266"/>
      <c r="AS21" s="266"/>
      <c r="AT21" s="266"/>
      <c r="AU21" s="267"/>
    </row>
    <row r="22" spans="1:47" ht="18" customHeight="1" x14ac:dyDescent="0.35">
      <c r="A22" s="274">
        <f>MATCH(B22,STUDIES!$A$3:$A$502,0)</f>
        <v>4</v>
      </c>
      <c r="B22" s="256" t="s">
        <v>357</v>
      </c>
      <c r="C22" s="458"/>
      <c r="D22" s="269" t="s">
        <v>1059</v>
      </c>
      <c r="E22" s="270" t="s">
        <v>289</v>
      </c>
      <c r="F22" s="155" t="str">
        <f>_xlfn.XLOOKUP(B22,STUDIES!$A$3:$A$1063,STUDIES!$G$3:$G$1063,"Not Found!")</f>
        <v>A</v>
      </c>
      <c r="G22" s="257" t="s">
        <v>147</v>
      </c>
      <c r="H22" s="257">
        <v>16</v>
      </c>
      <c r="I22" s="257">
        <v>319</v>
      </c>
      <c r="J22" s="258"/>
      <c r="K22" s="259"/>
      <c r="L22" s="259"/>
      <c r="M22" s="259"/>
      <c r="N22" s="259"/>
      <c r="O22" s="259"/>
      <c r="P22" s="259"/>
      <c r="Q22" s="279" t="s">
        <v>90</v>
      </c>
      <c r="R22" s="291">
        <v>-4.0999999999999996</v>
      </c>
      <c r="S22" s="263">
        <v>0.13</v>
      </c>
      <c r="T22" s="259"/>
      <c r="U22" s="259"/>
      <c r="V22" s="259"/>
      <c r="W22" s="259"/>
      <c r="X22" s="264"/>
      <c r="Y22" s="259"/>
      <c r="Z22" s="259"/>
      <c r="AA22" s="259"/>
      <c r="AB22" s="259"/>
      <c r="AC22" s="259"/>
      <c r="AD22" s="264"/>
      <c r="AE22" s="259"/>
      <c r="AF22" s="259"/>
      <c r="AG22" s="259"/>
      <c r="AH22" s="259"/>
      <c r="AI22" s="259"/>
      <c r="AJ22" s="265"/>
      <c r="AK22" s="266"/>
      <c r="AL22" s="266"/>
      <c r="AM22" s="266"/>
      <c r="AN22" s="266"/>
      <c r="AO22" s="267"/>
      <c r="AP22" s="266"/>
      <c r="AQ22" s="266"/>
      <c r="AR22" s="266"/>
      <c r="AS22" s="266"/>
      <c r="AT22" s="266"/>
      <c r="AU22" s="267"/>
    </row>
    <row r="23" spans="1:47" ht="18" customHeight="1" x14ac:dyDescent="0.35">
      <c r="A23" s="274">
        <f>MATCH(B23,STUDIES!$A$3:$A$502,0)</f>
        <v>4</v>
      </c>
      <c r="B23" s="256" t="s">
        <v>357</v>
      </c>
      <c r="C23" s="458"/>
      <c r="D23" s="269" t="s">
        <v>1059</v>
      </c>
      <c r="E23" s="270" t="s">
        <v>289</v>
      </c>
      <c r="F23" s="155" t="str">
        <f>_xlfn.XLOOKUP(B23,STUDIES!$A$3:$A$1063,STUDIES!$G$3:$G$1063,"Not Found!")</f>
        <v>A</v>
      </c>
      <c r="G23" s="257" t="s">
        <v>152</v>
      </c>
      <c r="H23" s="257">
        <v>52</v>
      </c>
      <c r="I23" s="257">
        <v>270</v>
      </c>
      <c r="J23" s="258"/>
      <c r="K23" s="259"/>
      <c r="L23" s="259"/>
      <c r="M23" s="259"/>
      <c r="N23" s="259"/>
      <c r="O23" s="259"/>
      <c r="P23" s="259"/>
      <c r="Q23" s="279" t="s">
        <v>90</v>
      </c>
      <c r="R23" s="291">
        <v>-4.0999999999999996</v>
      </c>
      <c r="S23" s="263">
        <v>0.16</v>
      </c>
      <c r="T23" s="259"/>
      <c r="U23" s="259"/>
      <c r="V23" s="259"/>
      <c r="W23" s="259"/>
      <c r="X23" s="264"/>
      <c r="Y23" s="259"/>
      <c r="Z23" s="259"/>
      <c r="AA23" s="259"/>
      <c r="AB23" s="259"/>
      <c r="AC23" s="259"/>
      <c r="AD23" s="264"/>
      <c r="AE23" s="259"/>
      <c r="AF23" s="259"/>
      <c r="AG23" s="259"/>
      <c r="AH23" s="259"/>
      <c r="AI23" s="259"/>
      <c r="AJ23" s="265"/>
      <c r="AK23" s="266"/>
      <c r="AL23" s="266"/>
      <c r="AM23" s="266"/>
      <c r="AN23" s="266"/>
      <c r="AO23" s="267"/>
      <c r="AP23" s="266"/>
      <c r="AQ23" s="266"/>
      <c r="AR23" s="266"/>
      <c r="AS23" s="266"/>
      <c r="AT23" s="266"/>
      <c r="AU23" s="267"/>
    </row>
    <row r="24" spans="1:47" ht="18" customHeight="1" x14ac:dyDescent="0.35">
      <c r="A24" s="274">
        <f>MATCH(B24,STUDIES!$A$3:$A$502,0)</f>
        <v>4</v>
      </c>
      <c r="B24" s="256" t="s">
        <v>357</v>
      </c>
      <c r="C24" s="458"/>
      <c r="D24" s="269" t="s">
        <v>1059</v>
      </c>
      <c r="E24" s="256" t="s">
        <v>153</v>
      </c>
      <c r="F24" s="155" t="str">
        <f>_xlfn.XLOOKUP(B24,STUDIES!$A$3:$A$1063,STUDIES!$G$3:$G$1063,"Not Found!")</f>
        <v>A</v>
      </c>
      <c r="G24" s="257" t="s">
        <v>147</v>
      </c>
      <c r="H24" s="257">
        <v>16</v>
      </c>
      <c r="I24" s="257">
        <v>319</v>
      </c>
      <c r="J24" s="258"/>
      <c r="K24" s="259"/>
      <c r="L24" s="259"/>
      <c r="M24" s="259"/>
      <c r="N24" s="259"/>
      <c r="O24" s="259"/>
      <c r="P24" s="259"/>
      <c r="Q24" s="279" t="s">
        <v>90</v>
      </c>
      <c r="R24" s="292">
        <v>-12.5</v>
      </c>
      <c r="S24" s="263">
        <v>0.37</v>
      </c>
      <c r="T24" s="259"/>
      <c r="U24" s="259"/>
      <c r="V24" s="259"/>
      <c r="W24" s="259"/>
      <c r="X24" s="264"/>
      <c r="Y24" s="259"/>
      <c r="Z24" s="259"/>
      <c r="AA24" s="259"/>
      <c r="AB24" s="259"/>
      <c r="AC24" s="259"/>
      <c r="AD24" s="264"/>
      <c r="AE24" s="259"/>
      <c r="AF24" s="259"/>
      <c r="AG24" s="259"/>
      <c r="AH24" s="259"/>
      <c r="AI24" s="259"/>
      <c r="AJ24" s="265"/>
      <c r="AK24" s="266"/>
      <c r="AL24" s="266"/>
      <c r="AM24" s="266"/>
      <c r="AN24" s="266"/>
      <c r="AO24" s="267"/>
      <c r="AP24" s="266"/>
      <c r="AQ24" s="266"/>
      <c r="AR24" s="266"/>
      <c r="AS24" s="266"/>
      <c r="AT24" s="266"/>
      <c r="AU24" s="267"/>
    </row>
    <row r="25" spans="1:47" ht="18" customHeight="1" x14ac:dyDescent="0.35">
      <c r="A25" s="274">
        <f>MATCH(B25,STUDIES!$A$3:$A$502,0)</f>
        <v>4</v>
      </c>
      <c r="B25" s="256" t="s">
        <v>357</v>
      </c>
      <c r="C25" s="458"/>
      <c r="D25" s="269" t="s">
        <v>1059</v>
      </c>
      <c r="E25" s="256" t="s">
        <v>153</v>
      </c>
      <c r="F25" s="155" t="str">
        <f>_xlfn.XLOOKUP(B25,STUDIES!$A$3:$A$1063,STUDIES!$G$3:$G$1063,"Not Found!")</f>
        <v>A</v>
      </c>
      <c r="G25" s="257" t="s">
        <v>152</v>
      </c>
      <c r="H25" s="257">
        <v>52</v>
      </c>
      <c r="I25" s="257">
        <v>270</v>
      </c>
      <c r="J25" s="258"/>
      <c r="K25" s="259"/>
      <c r="L25" s="259"/>
      <c r="M25" s="259"/>
      <c r="N25" s="259"/>
      <c r="O25" s="259"/>
      <c r="P25" s="259"/>
      <c r="Q25" s="279" t="s">
        <v>90</v>
      </c>
      <c r="R25" s="292">
        <v>-12.7</v>
      </c>
      <c r="S25" s="263">
        <v>0.45</v>
      </c>
      <c r="T25" s="259"/>
      <c r="U25" s="259"/>
      <c r="V25" s="259"/>
      <c r="W25" s="259"/>
      <c r="X25" s="264"/>
      <c r="Y25" s="259"/>
      <c r="Z25" s="259"/>
      <c r="AA25" s="259"/>
      <c r="AB25" s="259"/>
      <c r="AC25" s="259"/>
      <c r="AD25" s="264"/>
      <c r="AE25" s="259"/>
      <c r="AF25" s="259"/>
      <c r="AG25" s="259"/>
      <c r="AH25" s="259"/>
      <c r="AI25" s="259"/>
      <c r="AJ25" s="265"/>
      <c r="AK25" s="266"/>
      <c r="AL25" s="266"/>
      <c r="AM25" s="266"/>
      <c r="AN25" s="266"/>
      <c r="AO25" s="267"/>
      <c r="AP25" s="266"/>
      <c r="AQ25" s="266"/>
      <c r="AR25" s="266"/>
      <c r="AS25" s="266"/>
      <c r="AT25" s="266"/>
      <c r="AU25" s="267"/>
    </row>
    <row r="26" spans="1:47" ht="18" customHeight="1" x14ac:dyDescent="0.35">
      <c r="A26" s="274">
        <f>MATCH(B26,STUDIES!$A$3:$A$502,0)</f>
        <v>4</v>
      </c>
      <c r="B26" s="256" t="s">
        <v>357</v>
      </c>
      <c r="C26" s="458"/>
      <c r="D26" s="278" t="s">
        <v>1056</v>
      </c>
      <c r="E26" s="256" t="s">
        <v>154</v>
      </c>
      <c r="F26" s="155" t="str">
        <f>_xlfn.XLOOKUP(B26,STUDIES!$A$3:$A$1063,STUDIES!$G$3:$G$1063,"Not Found!")</f>
        <v>A</v>
      </c>
      <c r="G26" s="257" t="s">
        <v>147</v>
      </c>
      <c r="H26" s="257">
        <v>16</v>
      </c>
      <c r="I26" s="257">
        <v>106</v>
      </c>
      <c r="J26" s="258"/>
      <c r="K26" s="259"/>
      <c r="L26" s="259"/>
      <c r="M26" s="259"/>
      <c r="N26" s="259"/>
      <c r="O26" s="259"/>
      <c r="P26" s="259"/>
      <c r="Q26" s="279" t="s">
        <v>90</v>
      </c>
      <c r="R26" s="264">
        <v>-9.6999999999999993</v>
      </c>
      <c r="S26" s="263">
        <v>0.51</v>
      </c>
      <c r="T26" s="259"/>
      <c r="U26" s="259"/>
      <c r="V26" s="259"/>
      <c r="W26" s="259"/>
      <c r="X26" s="264"/>
      <c r="Y26" s="259"/>
      <c r="Z26" s="259"/>
      <c r="AA26" s="259"/>
      <c r="AB26" s="259"/>
      <c r="AC26" s="259"/>
      <c r="AD26" s="264"/>
      <c r="AE26" s="259"/>
      <c r="AF26" s="259"/>
      <c r="AG26" s="259"/>
      <c r="AH26" s="259"/>
      <c r="AI26" s="259"/>
      <c r="AJ26" s="265"/>
      <c r="AK26" s="266"/>
      <c r="AL26" s="266"/>
      <c r="AM26" s="266"/>
      <c r="AN26" s="266"/>
      <c r="AO26" s="267"/>
      <c r="AP26" s="266"/>
      <c r="AQ26" s="266"/>
      <c r="AR26" s="266"/>
      <c r="AS26" s="266"/>
      <c r="AT26" s="266"/>
      <c r="AU26" s="267"/>
    </row>
    <row r="27" spans="1:47" ht="18" customHeight="1" x14ac:dyDescent="0.35">
      <c r="A27" s="274">
        <f>MATCH(B27,STUDIES!$A$3:$A$502,0)</f>
        <v>4</v>
      </c>
      <c r="B27" s="256" t="s">
        <v>357</v>
      </c>
      <c r="C27" s="458"/>
      <c r="D27" s="278" t="s">
        <v>1056</v>
      </c>
      <c r="E27" s="256" t="s">
        <v>154</v>
      </c>
      <c r="F27" s="155" t="str">
        <f>_xlfn.XLOOKUP(B27,STUDIES!$A$3:$A$1063,STUDIES!$G$3:$G$1063,"Not Found!")</f>
        <v>A</v>
      </c>
      <c r="G27" s="257" t="s">
        <v>152</v>
      </c>
      <c r="H27" s="257">
        <v>52</v>
      </c>
      <c r="I27" s="257">
        <v>89</v>
      </c>
      <c r="J27" s="258"/>
      <c r="K27" s="259"/>
      <c r="L27" s="259"/>
      <c r="M27" s="259"/>
      <c r="N27" s="259"/>
      <c r="O27" s="259"/>
      <c r="P27" s="259"/>
      <c r="Q27" s="279" t="s">
        <v>90</v>
      </c>
      <c r="R27" s="264">
        <v>-10.9</v>
      </c>
      <c r="S27" s="263">
        <v>0.59</v>
      </c>
      <c r="T27" s="259"/>
      <c r="U27" s="259"/>
      <c r="V27" s="259"/>
      <c r="W27" s="259"/>
      <c r="X27" s="264"/>
      <c r="Y27" s="259"/>
      <c r="Z27" s="259"/>
      <c r="AA27" s="259"/>
      <c r="AB27" s="259"/>
      <c r="AC27" s="259"/>
      <c r="AD27" s="264"/>
      <c r="AE27" s="259"/>
      <c r="AF27" s="259"/>
      <c r="AG27" s="259"/>
      <c r="AH27" s="259"/>
      <c r="AI27" s="259"/>
      <c r="AJ27" s="265"/>
      <c r="AK27" s="266"/>
      <c r="AL27" s="266"/>
      <c r="AM27" s="266"/>
      <c r="AN27" s="266"/>
      <c r="AO27" s="267"/>
      <c r="AP27" s="266"/>
      <c r="AQ27" s="266"/>
      <c r="AR27" s="266"/>
      <c r="AS27" s="266"/>
      <c r="AT27" s="266"/>
      <c r="AU27" s="267"/>
    </row>
    <row r="28" spans="1:47" ht="18" customHeight="1" x14ac:dyDescent="0.35">
      <c r="A28" s="274">
        <f>MATCH(B28,STUDIES!$A$3:$A$502,0)</f>
        <v>4</v>
      </c>
      <c r="B28" s="256" t="s">
        <v>357</v>
      </c>
      <c r="C28" s="458"/>
      <c r="D28" s="278" t="s">
        <v>1056</v>
      </c>
      <c r="E28" s="256" t="s">
        <v>151</v>
      </c>
      <c r="F28" s="155" t="str">
        <f>_xlfn.XLOOKUP(B28,STUDIES!$A$3:$A$1063,STUDIES!$G$3:$G$1063,"Not Found!")</f>
        <v>A</v>
      </c>
      <c r="G28" s="257" t="s">
        <v>147</v>
      </c>
      <c r="H28" s="257">
        <v>16</v>
      </c>
      <c r="I28" s="257">
        <v>106</v>
      </c>
      <c r="J28" s="258"/>
      <c r="K28" s="259">
        <v>33.6</v>
      </c>
      <c r="L28" s="259"/>
      <c r="M28" s="259">
        <v>13.3</v>
      </c>
      <c r="N28" s="259"/>
      <c r="O28" s="259"/>
      <c r="P28" s="259"/>
      <c r="Q28" s="290" t="s">
        <v>92</v>
      </c>
      <c r="R28" s="262"/>
      <c r="S28" s="259"/>
      <c r="T28" s="259"/>
      <c r="U28" s="259"/>
      <c r="V28" s="259"/>
      <c r="W28" s="259"/>
      <c r="X28" s="264"/>
      <c r="Y28" s="259"/>
      <c r="Z28" s="259"/>
      <c r="AA28" s="259"/>
      <c r="AB28" s="259"/>
      <c r="AC28" s="259"/>
      <c r="AD28" s="264"/>
      <c r="AE28" s="259"/>
      <c r="AF28" s="259"/>
      <c r="AG28" s="259"/>
      <c r="AH28" s="259"/>
      <c r="AI28" s="259"/>
      <c r="AJ28" s="265">
        <v>-76.7</v>
      </c>
      <c r="AK28" s="266">
        <v>3.77</v>
      </c>
      <c r="AL28" s="266"/>
      <c r="AM28" s="266"/>
      <c r="AN28" s="266"/>
      <c r="AO28" s="267"/>
      <c r="AP28" s="266"/>
      <c r="AQ28" s="266"/>
      <c r="AR28" s="266"/>
      <c r="AS28" s="266"/>
      <c r="AT28" s="266"/>
      <c r="AU28" s="267"/>
    </row>
    <row r="29" spans="1:47" ht="18" customHeight="1" x14ac:dyDescent="0.35">
      <c r="A29" s="274">
        <f>MATCH(B29,STUDIES!$A$3:$A$502,0)</f>
        <v>4</v>
      </c>
      <c r="B29" s="256" t="s">
        <v>357</v>
      </c>
      <c r="C29" s="458"/>
      <c r="D29" s="278" t="s">
        <v>1056</v>
      </c>
      <c r="E29" s="256" t="s">
        <v>151</v>
      </c>
      <c r="F29" s="155" t="str">
        <f>_xlfn.XLOOKUP(B29,STUDIES!$A$3:$A$1063,STUDIES!$G$3:$G$1063,"Not Found!")</f>
        <v>A</v>
      </c>
      <c r="G29" s="257" t="s">
        <v>152</v>
      </c>
      <c r="H29" s="257">
        <v>52</v>
      </c>
      <c r="I29" s="257">
        <v>89</v>
      </c>
      <c r="J29" s="258"/>
      <c r="K29" s="259">
        <v>33.6</v>
      </c>
      <c r="L29" s="259"/>
      <c r="M29" s="259">
        <v>13.3</v>
      </c>
      <c r="N29" s="259"/>
      <c r="O29" s="259"/>
      <c r="P29" s="259"/>
      <c r="Q29" s="290" t="s">
        <v>92</v>
      </c>
      <c r="R29" s="262"/>
      <c r="S29" s="259"/>
      <c r="T29" s="259"/>
      <c r="U29" s="259"/>
      <c r="V29" s="259"/>
      <c r="W29" s="259"/>
      <c r="X29" s="264"/>
      <c r="Y29" s="259"/>
      <c r="Z29" s="259"/>
      <c r="AA29" s="259"/>
      <c r="AB29" s="259"/>
      <c r="AC29" s="259"/>
      <c r="AD29" s="264"/>
      <c r="AE29" s="259"/>
      <c r="AF29" s="259"/>
      <c r="AG29" s="259"/>
      <c r="AH29" s="259"/>
      <c r="AI29" s="259"/>
      <c r="AJ29" s="265">
        <v>-78.3</v>
      </c>
      <c r="AK29" s="266">
        <v>4.4400000000000004</v>
      </c>
      <c r="AL29" s="266"/>
      <c r="AM29" s="266"/>
      <c r="AN29" s="266"/>
      <c r="AO29" s="267"/>
      <c r="AP29" s="266"/>
      <c r="AQ29" s="266"/>
      <c r="AR29" s="266"/>
      <c r="AS29" s="266"/>
      <c r="AT29" s="266"/>
      <c r="AU29" s="267"/>
    </row>
    <row r="30" spans="1:47" ht="18" customHeight="1" x14ac:dyDescent="0.35">
      <c r="A30" s="274">
        <f>MATCH(B30,STUDIES!$A$3:$A$502,0)</f>
        <v>4</v>
      </c>
      <c r="B30" s="256" t="s">
        <v>357</v>
      </c>
      <c r="C30" s="458"/>
      <c r="D30" s="278" t="s">
        <v>1056</v>
      </c>
      <c r="E30" s="270" t="s">
        <v>289</v>
      </c>
      <c r="F30" s="155" t="str">
        <f>_xlfn.XLOOKUP(B30,STUDIES!$A$3:$A$1063,STUDIES!$G$3:$G$1063,"Not Found!")</f>
        <v>A</v>
      </c>
      <c r="G30" s="257" t="s">
        <v>147</v>
      </c>
      <c r="H30" s="257">
        <v>16</v>
      </c>
      <c r="I30" s="257">
        <v>106</v>
      </c>
      <c r="J30" s="258"/>
      <c r="K30" s="259"/>
      <c r="L30" s="259"/>
      <c r="M30" s="259"/>
      <c r="N30" s="259"/>
      <c r="O30" s="259"/>
      <c r="P30" s="259"/>
      <c r="Q30" s="279" t="s">
        <v>90</v>
      </c>
      <c r="R30" s="262">
        <v>-4.0999999999999996</v>
      </c>
      <c r="S30" s="263">
        <v>0.21</v>
      </c>
      <c r="T30" s="259"/>
      <c r="U30" s="259"/>
      <c r="V30" s="259"/>
      <c r="W30" s="259"/>
      <c r="X30" s="264"/>
      <c r="Y30" s="259"/>
      <c r="Z30" s="259"/>
      <c r="AA30" s="259"/>
      <c r="AB30" s="259"/>
      <c r="AC30" s="259"/>
      <c r="AD30" s="264"/>
      <c r="AE30" s="259"/>
      <c r="AF30" s="259"/>
      <c r="AG30" s="259"/>
      <c r="AH30" s="259"/>
      <c r="AI30" s="259"/>
      <c r="AJ30" s="265"/>
      <c r="AK30" s="266"/>
      <c r="AL30" s="266"/>
      <c r="AM30" s="266"/>
      <c r="AN30" s="266"/>
      <c r="AO30" s="267"/>
      <c r="AP30" s="266"/>
      <c r="AQ30" s="266"/>
      <c r="AR30" s="266"/>
      <c r="AS30" s="266"/>
      <c r="AT30" s="266"/>
      <c r="AU30" s="267"/>
    </row>
    <row r="31" spans="1:47" ht="18" customHeight="1" x14ac:dyDescent="0.35">
      <c r="A31" s="274">
        <f>MATCH(B31,STUDIES!$A$3:$A$502,0)</f>
        <v>4</v>
      </c>
      <c r="B31" s="256" t="s">
        <v>357</v>
      </c>
      <c r="C31" s="458"/>
      <c r="D31" s="278" t="s">
        <v>1056</v>
      </c>
      <c r="E31" s="270" t="s">
        <v>289</v>
      </c>
      <c r="F31" s="155" t="str">
        <f>_xlfn.XLOOKUP(B31,STUDIES!$A$3:$A$1063,STUDIES!$G$3:$G$1063,"Not Found!")</f>
        <v>A</v>
      </c>
      <c r="G31" s="257" t="s">
        <v>152</v>
      </c>
      <c r="H31" s="257">
        <v>52</v>
      </c>
      <c r="I31" s="257">
        <v>89</v>
      </c>
      <c r="J31" s="258"/>
      <c r="K31" s="259"/>
      <c r="L31" s="259"/>
      <c r="M31" s="259"/>
      <c r="N31" s="259"/>
      <c r="O31" s="259"/>
      <c r="P31" s="259"/>
      <c r="Q31" s="279" t="s">
        <v>90</v>
      </c>
      <c r="R31" s="262">
        <v>-4.2</v>
      </c>
      <c r="S31" s="263">
        <v>0.26</v>
      </c>
      <c r="T31" s="259"/>
      <c r="U31" s="259"/>
      <c r="V31" s="259"/>
      <c r="W31" s="259"/>
      <c r="X31" s="264"/>
      <c r="Y31" s="259"/>
      <c r="Z31" s="259"/>
      <c r="AA31" s="259"/>
      <c r="AB31" s="259"/>
      <c r="AC31" s="259"/>
      <c r="AD31" s="264"/>
      <c r="AE31" s="259"/>
      <c r="AF31" s="259"/>
      <c r="AG31" s="259"/>
      <c r="AH31" s="259"/>
      <c r="AI31" s="259"/>
      <c r="AJ31" s="265"/>
      <c r="AK31" s="266"/>
      <c r="AL31" s="266"/>
      <c r="AM31" s="266"/>
      <c r="AN31" s="266"/>
      <c r="AO31" s="267"/>
      <c r="AP31" s="266"/>
      <c r="AQ31" s="266"/>
      <c r="AR31" s="266"/>
      <c r="AS31" s="266"/>
      <c r="AT31" s="266"/>
      <c r="AU31" s="267"/>
    </row>
    <row r="32" spans="1:47" ht="18" customHeight="1" x14ac:dyDescent="0.35">
      <c r="A32" s="274">
        <f>MATCH(B32,STUDIES!$A$3:$A$502,0)</f>
        <v>4</v>
      </c>
      <c r="B32" s="256" t="s">
        <v>357</v>
      </c>
      <c r="C32" s="458"/>
      <c r="D32" s="278" t="s">
        <v>1056</v>
      </c>
      <c r="E32" s="256" t="s">
        <v>153</v>
      </c>
      <c r="F32" s="155" t="str">
        <f>_xlfn.XLOOKUP(B32,STUDIES!$A$3:$A$1063,STUDIES!$G$3:$G$1063,"Not Found!")</f>
        <v>A</v>
      </c>
      <c r="G32" s="257" t="s">
        <v>147</v>
      </c>
      <c r="H32" s="257">
        <v>16</v>
      </c>
      <c r="I32" s="257">
        <v>106</v>
      </c>
      <c r="J32" s="258"/>
      <c r="K32" s="259"/>
      <c r="L32" s="259"/>
      <c r="M32" s="259"/>
      <c r="N32" s="259"/>
      <c r="O32" s="259"/>
      <c r="P32" s="259"/>
      <c r="Q32" s="271" t="s">
        <v>90</v>
      </c>
      <c r="R32" s="264">
        <v>-12.4</v>
      </c>
      <c r="S32" s="263">
        <v>0.63</v>
      </c>
      <c r="T32" s="259"/>
      <c r="U32" s="259"/>
      <c r="V32" s="259"/>
      <c r="W32" s="259"/>
      <c r="X32" s="264"/>
      <c r="Y32" s="259"/>
      <c r="Z32" s="259"/>
      <c r="AA32" s="259"/>
      <c r="AB32" s="259"/>
      <c r="AC32" s="259"/>
      <c r="AD32" s="264"/>
      <c r="AE32" s="259"/>
      <c r="AF32" s="259"/>
      <c r="AG32" s="259"/>
      <c r="AH32" s="259"/>
      <c r="AI32" s="259"/>
      <c r="AJ32" s="265"/>
      <c r="AK32" s="266"/>
      <c r="AL32" s="266"/>
      <c r="AM32" s="266"/>
      <c r="AN32" s="266"/>
      <c r="AO32" s="267"/>
      <c r="AP32" s="266"/>
      <c r="AQ32" s="266"/>
      <c r="AR32" s="266"/>
      <c r="AS32" s="266"/>
      <c r="AT32" s="266"/>
      <c r="AU32" s="267"/>
    </row>
    <row r="33" spans="1:47" ht="18" customHeight="1" x14ac:dyDescent="0.35">
      <c r="A33" s="274">
        <f>MATCH(B33,STUDIES!$A$3:$A$502,0)</f>
        <v>4</v>
      </c>
      <c r="B33" s="256" t="s">
        <v>357</v>
      </c>
      <c r="C33" s="458"/>
      <c r="D33" s="278" t="s">
        <v>1056</v>
      </c>
      <c r="E33" s="256" t="s">
        <v>153</v>
      </c>
      <c r="F33" s="155" t="str">
        <f>_xlfn.XLOOKUP(B33,STUDIES!$A$3:$A$1063,STUDIES!$G$3:$G$1063,"Not Found!")</f>
        <v>A</v>
      </c>
      <c r="G33" s="257" t="s">
        <v>152</v>
      </c>
      <c r="H33" s="257">
        <v>52</v>
      </c>
      <c r="I33" s="257">
        <v>89</v>
      </c>
      <c r="J33" s="258"/>
      <c r="K33" s="259"/>
      <c r="L33" s="259"/>
      <c r="M33" s="259"/>
      <c r="N33" s="259"/>
      <c r="O33" s="259"/>
      <c r="P33" s="259"/>
      <c r="Q33" s="271" t="s">
        <v>90</v>
      </c>
      <c r="R33" s="264">
        <v>-13.7</v>
      </c>
      <c r="S33" s="263">
        <v>0.75</v>
      </c>
      <c r="T33" s="259"/>
      <c r="U33" s="259"/>
      <c r="V33" s="259"/>
      <c r="W33" s="259"/>
      <c r="X33" s="264"/>
      <c r="Y33" s="259"/>
      <c r="Z33" s="259"/>
      <c r="AA33" s="259"/>
      <c r="AB33" s="259"/>
      <c r="AC33" s="259"/>
      <c r="AD33" s="264"/>
      <c r="AE33" s="259"/>
      <c r="AF33" s="259"/>
      <c r="AG33" s="259"/>
      <c r="AH33" s="259"/>
      <c r="AI33" s="259"/>
      <c r="AJ33" s="265"/>
      <c r="AK33" s="266"/>
      <c r="AL33" s="266"/>
      <c r="AM33" s="266"/>
      <c r="AN33" s="266"/>
      <c r="AO33" s="267"/>
      <c r="AP33" s="266"/>
      <c r="AQ33" s="266"/>
      <c r="AR33" s="266"/>
      <c r="AS33" s="266"/>
      <c r="AT33" s="266"/>
      <c r="AU33" s="267"/>
    </row>
    <row r="34" spans="1:47" ht="18" customHeight="1" x14ac:dyDescent="0.35">
      <c r="A34" s="274">
        <f>MATCH(B34,STUDIES!$A$3:$A$502,0)</f>
        <v>4</v>
      </c>
      <c r="B34" s="256" t="s">
        <v>357</v>
      </c>
      <c r="C34" s="458"/>
      <c r="D34" s="269" t="s">
        <v>148</v>
      </c>
      <c r="E34" s="256" t="s">
        <v>154</v>
      </c>
      <c r="F34" s="155" t="str">
        <f>_xlfn.XLOOKUP(B34,STUDIES!$A$3:$A$1063,STUDIES!$G$3:$G$1063,"Not Found!")</f>
        <v>A</v>
      </c>
      <c r="G34" s="257" t="s">
        <v>147</v>
      </c>
      <c r="H34" s="257">
        <v>16</v>
      </c>
      <c r="I34" s="257">
        <v>315</v>
      </c>
      <c r="J34" s="258"/>
      <c r="K34" s="259"/>
      <c r="L34" s="259"/>
      <c r="M34" s="259"/>
      <c r="N34" s="259"/>
      <c r="O34" s="259"/>
      <c r="P34" s="259"/>
      <c r="Q34" s="271" t="s">
        <v>90</v>
      </c>
      <c r="R34" s="264">
        <v>-5.3</v>
      </c>
      <c r="S34" s="263">
        <v>0.31</v>
      </c>
      <c r="T34" s="259"/>
      <c r="U34" s="259"/>
      <c r="V34" s="259"/>
      <c r="W34" s="259"/>
      <c r="X34" s="264"/>
      <c r="Y34" s="259"/>
      <c r="Z34" s="259"/>
      <c r="AA34" s="259"/>
      <c r="AB34" s="259"/>
      <c r="AC34" s="259"/>
      <c r="AD34" s="264"/>
      <c r="AE34" s="259"/>
      <c r="AF34" s="259"/>
      <c r="AG34" s="259"/>
      <c r="AH34" s="259"/>
      <c r="AI34" s="259"/>
      <c r="AJ34" s="265"/>
      <c r="AK34" s="266"/>
      <c r="AL34" s="266"/>
      <c r="AM34" s="266"/>
      <c r="AN34" s="266"/>
      <c r="AO34" s="267"/>
      <c r="AP34" s="266"/>
      <c r="AQ34" s="266"/>
      <c r="AR34" s="266"/>
      <c r="AS34" s="266"/>
      <c r="AT34" s="266"/>
      <c r="AU34" s="267"/>
    </row>
    <row r="35" spans="1:47" ht="18" customHeight="1" x14ac:dyDescent="0.35">
      <c r="A35" s="274">
        <f>MATCH(B35,STUDIES!$A$3:$A$502,0)</f>
        <v>4</v>
      </c>
      <c r="B35" s="256" t="s">
        <v>357</v>
      </c>
      <c r="C35" s="458"/>
      <c r="D35" s="269" t="s">
        <v>148</v>
      </c>
      <c r="E35" s="256" t="s">
        <v>154</v>
      </c>
      <c r="F35" s="155" t="str">
        <f>_xlfn.XLOOKUP(B35,STUDIES!$A$3:$A$1063,STUDIES!$G$3:$G$1063,"Not Found!")</f>
        <v>A</v>
      </c>
      <c r="G35" s="257" t="s">
        <v>152</v>
      </c>
      <c r="H35" s="257">
        <v>52</v>
      </c>
      <c r="I35" s="257">
        <v>264</v>
      </c>
      <c r="J35" s="258"/>
      <c r="K35" s="259"/>
      <c r="L35" s="259"/>
      <c r="M35" s="259"/>
      <c r="N35" s="259"/>
      <c r="O35" s="259"/>
      <c r="P35" s="259"/>
      <c r="Q35" s="271" t="s">
        <v>90</v>
      </c>
      <c r="R35" s="264">
        <v>-5.6</v>
      </c>
      <c r="S35" s="263">
        <v>0.36</v>
      </c>
      <c r="T35" s="259"/>
      <c r="U35" s="259"/>
      <c r="V35" s="259"/>
      <c r="W35" s="259"/>
      <c r="X35" s="264"/>
      <c r="Y35" s="259"/>
      <c r="Z35" s="259"/>
      <c r="AA35" s="259"/>
      <c r="AB35" s="259"/>
      <c r="AC35" s="259"/>
      <c r="AD35" s="264"/>
      <c r="AE35" s="259"/>
      <c r="AF35" s="259"/>
      <c r="AG35" s="259"/>
      <c r="AH35" s="259"/>
      <c r="AI35" s="259"/>
      <c r="AJ35" s="265"/>
      <c r="AK35" s="266"/>
      <c r="AL35" s="266"/>
      <c r="AM35" s="266"/>
      <c r="AN35" s="266"/>
      <c r="AO35" s="267"/>
      <c r="AP35" s="266"/>
      <c r="AQ35" s="266"/>
      <c r="AR35" s="266"/>
      <c r="AS35" s="266"/>
      <c r="AT35" s="266"/>
      <c r="AU35" s="267"/>
    </row>
    <row r="36" spans="1:47" ht="18" customHeight="1" x14ac:dyDescent="0.35">
      <c r="A36" s="274">
        <f>MATCH(B36,STUDIES!$A$3:$A$502,0)</f>
        <v>4</v>
      </c>
      <c r="B36" s="256" t="s">
        <v>357</v>
      </c>
      <c r="C36" s="458"/>
      <c r="D36" s="269" t="s">
        <v>148</v>
      </c>
      <c r="E36" s="256" t="s">
        <v>151</v>
      </c>
      <c r="F36" s="155" t="str">
        <f>_xlfn.XLOOKUP(B36,STUDIES!$A$3:$A$1063,STUDIES!$G$3:$G$1063,"Not Found!")</f>
        <v>A</v>
      </c>
      <c r="G36" s="257" t="s">
        <v>147</v>
      </c>
      <c r="H36" s="257">
        <v>16</v>
      </c>
      <c r="I36" s="257">
        <v>315</v>
      </c>
      <c r="J36" s="258"/>
      <c r="K36" s="259">
        <v>32.6</v>
      </c>
      <c r="L36" s="259"/>
      <c r="M36" s="259">
        <v>12.93</v>
      </c>
      <c r="N36" s="259"/>
      <c r="O36" s="259"/>
      <c r="P36" s="259"/>
      <c r="Q36" s="261" t="s">
        <v>92</v>
      </c>
      <c r="R36" s="280"/>
      <c r="S36" s="259"/>
      <c r="T36" s="259"/>
      <c r="U36" s="259"/>
      <c r="V36" s="259"/>
      <c r="W36" s="259"/>
      <c r="X36" s="264"/>
      <c r="Y36" s="259"/>
      <c r="Z36" s="259"/>
      <c r="AA36" s="259"/>
      <c r="AB36" s="259"/>
      <c r="AC36" s="259"/>
      <c r="AD36" s="264"/>
      <c r="AE36" s="259"/>
      <c r="AF36" s="259"/>
      <c r="AG36" s="259"/>
      <c r="AH36" s="259"/>
      <c r="AI36" s="259"/>
      <c r="AJ36" s="265">
        <v>-43.2</v>
      </c>
      <c r="AK36" s="266">
        <v>2.2599999999999998</v>
      </c>
      <c r="AL36" s="266"/>
      <c r="AM36" s="266"/>
      <c r="AN36" s="266"/>
      <c r="AO36" s="267"/>
      <c r="AP36" s="266"/>
      <c r="AQ36" s="266"/>
      <c r="AR36" s="266"/>
      <c r="AS36" s="266"/>
      <c r="AT36" s="266"/>
      <c r="AU36" s="267"/>
    </row>
    <row r="37" spans="1:47" ht="18" customHeight="1" x14ac:dyDescent="0.35">
      <c r="A37" s="274">
        <f>MATCH(B37,STUDIES!$A$3:$A$502,0)</f>
        <v>4</v>
      </c>
      <c r="B37" s="256" t="s">
        <v>357</v>
      </c>
      <c r="C37" s="458"/>
      <c r="D37" s="269" t="s">
        <v>148</v>
      </c>
      <c r="E37" s="256" t="s">
        <v>151</v>
      </c>
      <c r="F37" s="155" t="str">
        <f>_xlfn.XLOOKUP(B37,STUDIES!$A$3:$A$1063,STUDIES!$G$3:$G$1063,"Not Found!")</f>
        <v>A</v>
      </c>
      <c r="G37" s="257" t="s">
        <v>152</v>
      </c>
      <c r="H37" s="257">
        <v>52</v>
      </c>
      <c r="I37" s="257">
        <v>264</v>
      </c>
      <c r="J37" s="258"/>
      <c r="K37" s="259">
        <v>32.6</v>
      </c>
      <c r="L37" s="259"/>
      <c r="M37" s="259">
        <v>12.93</v>
      </c>
      <c r="N37" s="259"/>
      <c r="O37" s="259"/>
      <c r="P37" s="259"/>
      <c r="Q37" s="261" t="s">
        <v>92</v>
      </c>
      <c r="R37" s="280"/>
      <c r="S37" s="259"/>
      <c r="T37" s="259"/>
      <c r="U37" s="259"/>
      <c r="V37" s="259"/>
      <c r="W37" s="259"/>
      <c r="X37" s="264"/>
      <c r="Y37" s="259"/>
      <c r="Z37" s="259"/>
      <c r="AA37" s="259"/>
      <c r="AB37" s="259"/>
      <c r="AC37" s="259"/>
      <c r="AD37" s="264"/>
      <c r="AE37" s="259"/>
      <c r="AF37" s="259"/>
      <c r="AG37" s="259"/>
      <c r="AH37" s="259"/>
      <c r="AI37" s="259"/>
      <c r="AJ37" s="265">
        <v>-45.8</v>
      </c>
      <c r="AK37" s="266">
        <v>2.7</v>
      </c>
      <c r="AL37" s="266"/>
      <c r="AM37" s="266"/>
      <c r="AN37" s="266"/>
      <c r="AO37" s="267"/>
      <c r="AP37" s="266"/>
      <c r="AQ37" s="266"/>
      <c r="AR37" s="266"/>
      <c r="AS37" s="266"/>
      <c r="AT37" s="266"/>
      <c r="AU37" s="267"/>
    </row>
    <row r="38" spans="1:47" ht="18" customHeight="1" x14ac:dyDescent="0.35">
      <c r="A38" s="274">
        <f>MATCH(B38,STUDIES!$A$3:$A$502,0)</f>
        <v>4</v>
      </c>
      <c r="B38" s="256" t="s">
        <v>357</v>
      </c>
      <c r="C38" s="458"/>
      <c r="D38" s="269" t="s">
        <v>148</v>
      </c>
      <c r="E38" s="270" t="s">
        <v>289</v>
      </c>
      <c r="F38" s="155" t="str">
        <f>_xlfn.XLOOKUP(B38,STUDIES!$A$3:$A$1063,STUDIES!$G$3:$G$1063,"Not Found!")</f>
        <v>A</v>
      </c>
      <c r="G38" s="257" t="s">
        <v>147</v>
      </c>
      <c r="H38" s="257">
        <v>16</v>
      </c>
      <c r="I38" s="257">
        <v>315</v>
      </c>
      <c r="J38" s="258"/>
      <c r="K38" s="259"/>
      <c r="L38" s="259"/>
      <c r="M38" s="259"/>
      <c r="N38" s="259"/>
      <c r="O38" s="259"/>
      <c r="P38" s="259"/>
      <c r="Q38" s="271" t="s">
        <v>90</v>
      </c>
      <c r="R38" s="280">
        <v>-2.1</v>
      </c>
      <c r="S38" s="263">
        <v>0.13</v>
      </c>
      <c r="T38" s="259"/>
      <c r="U38" s="259"/>
      <c r="V38" s="259"/>
      <c r="W38" s="259"/>
      <c r="X38" s="264"/>
      <c r="Y38" s="259"/>
      <c r="Z38" s="259"/>
      <c r="AA38" s="259"/>
      <c r="AB38" s="259"/>
      <c r="AC38" s="259"/>
      <c r="AD38" s="264"/>
      <c r="AE38" s="259"/>
      <c r="AF38" s="259"/>
      <c r="AG38" s="259"/>
      <c r="AH38" s="259"/>
      <c r="AI38" s="259"/>
      <c r="AJ38" s="265"/>
      <c r="AK38" s="266"/>
      <c r="AL38" s="266"/>
      <c r="AM38" s="266"/>
      <c r="AN38" s="266"/>
      <c r="AO38" s="267"/>
      <c r="AP38" s="266"/>
      <c r="AQ38" s="266"/>
      <c r="AR38" s="266"/>
      <c r="AS38" s="266"/>
      <c r="AT38" s="266"/>
      <c r="AU38" s="267"/>
    </row>
    <row r="39" spans="1:47" ht="18" customHeight="1" x14ac:dyDescent="0.35">
      <c r="A39" s="274">
        <f>MATCH(B39,STUDIES!$A$3:$A$502,0)</f>
        <v>4</v>
      </c>
      <c r="B39" s="256" t="s">
        <v>357</v>
      </c>
      <c r="C39" s="458"/>
      <c r="D39" s="269" t="s">
        <v>148</v>
      </c>
      <c r="E39" s="270" t="s">
        <v>289</v>
      </c>
      <c r="F39" s="155" t="str">
        <f>_xlfn.XLOOKUP(B39,STUDIES!$A$3:$A$1063,STUDIES!$G$3:$G$1063,"Not Found!")</f>
        <v>A</v>
      </c>
      <c r="G39" s="257" t="s">
        <v>152</v>
      </c>
      <c r="H39" s="257">
        <v>52</v>
      </c>
      <c r="I39" s="257">
        <v>264</v>
      </c>
      <c r="J39" s="258"/>
      <c r="K39" s="259"/>
      <c r="L39" s="259"/>
      <c r="M39" s="259"/>
      <c r="N39" s="259"/>
      <c r="O39" s="259"/>
      <c r="P39" s="259"/>
      <c r="Q39" s="271" t="s">
        <v>90</v>
      </c>
      <c r="R39" s="280">
        <v>-2.1</v>
      </c>
      <c r="S39" s="263">
        <v>0.16</v>
      </c>
      <c r="T39" s="259"/>
      <c r="U39" s="259"/>
      <c r="V39" s="259"/>
      <c r="W39" s="259"/>
      <c r="X39" s="264"/>
      <c r="Y39" s="259"/>
      <c r="Z39" s="259"/>
      <c r="AA39" s="259"/>
      <c r="AB39" s="259"/>
      <c r="AC39" s="259"/>
      <c r="AD39" s="264"/>
      <c r="AE39" s="259"/>
      <c r="AF39" s="259"/>
      <c r="AG39" s="259"/>
      <c r="AH39" s="259"/>
      <c r="AI39" s="259"/>
      <c r="AJ39" s="265"/>
      <c r="AK39" s="266"/>
      <c r="AL39" s="266"/>
      <c r="AM39" s="266"/>
      <c r="AN39" s="266"/>
      <c r="AO39" s="267"/>
      <c r="AP39" s="266"/>
      <c r="AQ39" s="266"/>
      <c r="AR39" s="266"/>
      <c r="AS39" s="266"/>
      <c r="AT39" s="266"/>
      <c r="AU39" s="267"/>
    </row>
    <row r="40" spans="1:47" ht="18" customHeight="1" x14ac:dyDescent="0.35">
      <c r="A40" s="274">
        <f>MATCH(B40,STUDIES!$A$3:$A$502,0)</f>
        <v>4</v>
      </c>
      <c r="B40" s="256" t="s">
        <v>357</v>
      </c>
      <c r="C40" s="458"/>
      <c r="D40" s="269" t="s">
        <v>148</v>
      </c>
      <c r="E40" s="256" t="s">
        <v>153</v>
      </c>
      <c r="F40" s="155" t="str">
        <f>_xlfn.XLOOKUP(B40,STUDIES!$A$3:$A$1063,STUDIES!$G$3:$G$1063,"Not Found!")</f>
        <v>A</v>
      </c>
      <c r="G40" s="257" t="s">
        <v>147</v>
      </c>
      <c r="H40" s="257">
        <v>16</v>
      </c>
      <c r="I40" s="257">
        <v>315</v>
      </c>
      <c r="J40" s="258"/>
      <c r="K40" s="259"/>
      <c r="L40" s="259"/>
      <c r="M40" s="259"/>
      <c r="N40" s="259"/>
      <c r="O40" s="259"/>
      <c r="P40" s="259"/>
      <c r="Q40" s="271" t="s">
        <v>90</v>
      </c>
      <c r="R40" s="264">
        <v>-4.7</v>
      </c>
      <c r="S40" s="263">
        <v>0.38</v>
      </c>
      <c r="T40" s="259"/>
      <c r="U40" s="259"/>
      <c r="V40" s="259"/>
      <c r="W40" s="259"/>
      <c r="X40" s="264"/>
      <c r="Y40" s="259"/>
      <c r="Z40" s="259"/>
      <c r="AA40" s="259"/>
      <c r="AB40" s="259"/>
      <c r="AC40" s="259"/>
      <c r="AD40" s="264"/>
      <c r="AE40" s="259"/>
      <c r="AF40" s="259"/>
      <c r="AG40" s="259"/>
      <c r="AH40" s="259"/>
      <c r="AI40" s="259"/>
      <c r="AJ40" s="265"/>
      <c r="AK40" s="266"/>
      <c r="AL40" s="266"/>
      <c r="AM40" s="266"/>
      <c r="AN40" s="266"/>
      <c r="AO40" s="267"/>
      <c r="AP40" s="266"/>
      <c r="AQ40" s="266"/>
      <c r="AR40" s="266"/>
      <c r="AS40" s="266"/>
      <c r="AT40" s="266"/>
      <c r="AU40" s="267"/>
    </row>
    <row r="41" spans="1:47" ht="18" customHeight="1" x14ac:dyDescent="0.35">
      <c r="A41" s="274">
        <f>MATCH(B41,STUDIES!$A$3:$A$502,0)</f>
        <v>4</v>
      </c>
      <c r="B41" s="256" t="s">
        <v>357</v>
      </c>
      <c r="C41" s="458"/>
      <c r="D41" s="269" t="s">
        <v>148</v>
      </c>
      <c r="E41" s="256" t="s">
        <v>153</v>
      </c>
      <c r="F41" s="155" t="str">
        <f>_xlfn.XLOOKUP(B41,STUDIES!$A$3:$A$1063,STUDIES!$G$3:$G$1063,"Not Found!")</f>
        <v>A</v>
      </c>
      <c r="G41" s="257" t="s">
        <v>152</v>
      </c>
      <c r="H41" s="257">
        <v>52</v>
      </c>
      <c r="I41" s="257">
        <v>264</v>
      </c>
      <c r="J41" s="258"/>
      <c r="K41" s="259"/>
      <c r="L41" s="259"/>
      <c r="M41" s="259"/>
      <c r="N41" s="259"/>
      <c r="O41" s="259"/>
      <c r="P41" s="259"/>
      <c r="Q41" s="271" t="s">
        <v>90</v>
      </c>
      <c r="R41" s="264">
        <v>-5.3</v>
      </c>
      <c r="S41" s="263">
        <v>0.46</v>
      </c>
      <c r="T41" s="259"/>
      <c r="U41" s="259"/>
      <c r="V41" s="259"/>
      <c r="W41" s="259"/>
      <c r="X41" s="264"/>
      <c r="Y41" s="259"/>
      <c r="Z41" s="259"/>
      <c r="AA41" s="259"/>
      <c r="AB41" s="259"/>
      <c r="AC41" s="259"/>
      <c r="AD41" s="264"/>
      <c r="AE41" s="259"/>
      <c r="AF41" s="259"/>
      <c r="AG41" s="259"/>
      <c r="AH41" s="259"/>
      <c r="AI41" s="259"/>
      <c r="AJ41" s="265"/>
      <c r="AK41" s="266"/>
      <c r="AL41" s="266"/>
      <c r="AM41" s="266"/>
      <c r="AN41" s="266"/>
      <c r="AO41" s="267"/>
      <c r="AP41" s="266"/>
      <c r="AQ41" s="266"/>
      <c r="AR41" s="266"/>
      <c r="AS41" s="266"/>
      <c r="AT41" s="266"/>
      <c r="AU41" s="267"/>
    </row>
    <row r="42" spans="1:47" ht="18" customHeight="1" x14ac:dyDescent="0.35">
      <c r="A42" s="274">
        <f>MATCH(B42,STUDIES!$A$3:$A$502,0)</f>
        <v>4</v>
      </c>
      <c r="B42" s="272" t="s">
        <v>357</v>
      </c>
      <c r="D42" s="269" t="s">
        <v>1059</v>
      </c>
      <c r="E42" s="272" t="s">
        <v>1163</v>
      </c>
      <c r="F42" s="155" t="str">
        <f>_xlfn.XLOOKUP(B42,STUDIES!$A$3:$A$1063,STUDIES!$G$3:$G$1063,"Not Found!")</f>
        <v>A</v>
      </c>
      <c r="G42" s="273" t="s">
        <v>152</v>
      </c>
      <c r="H42" s="273">
        <v>52</v>
      </c>
      <c r="I42" s="273">
        <v>315</v>
      </c>
      <c r="J42" s="274">
        <v>9</v>
      </c>
      <c r="Q42" s="275"/>
      <c r="R42" s="276"/>
    </row>
    <row r="43" spans="1:47" ht="18" customHeight="1" x14ac:dyDescent="0.35">
      <c r="A43" s="274">
        <f>MATCH(B43,STUDIES!$A$3:$A$502,0)</f>
        <v>4</v>
      </c>
      <c r="B43" s="272" t="s">
        <v>357</v>
      </c>
      <c r="D43" s="269" t="s">
        <v>1056</v>
      </c>
      <c r="E43" s="272" t="s">
        <v>1163</v>
      </c>
      <c r="F43" s="155" t="str">
        <f>_xlfn.XLOOKUP(B43,STUDIES!$A$3:$A$1063,STUDIES!$G$3:$G$1063,"Not Found!")</f>
        <v>A</v>
      </c>
      <c r="G43" s="273" t="s">
        <v>152</v>
      </c>
      <c r="H43" s="273">
        <v>52</v>
      </c>
      <c r="I43" s="273">
        <v>110</v>
      </c>
      <c r="J43" s="274">
        <v>4</v>
      </c>
    </row>
    <row r="44" spans="1:47" ht="18" customHeight="1" x14ac:dyDescent="0.35">
      <c r="A44" s="274">
        <f>MATCH(B44,STUDIES!$A$3:$A$502,0)</f>
        <v>4</v>
      </c>
      <c r="B44" s="272" t="s">
        <v>357</v>
      </c>
      <c r="D44" s="281" t="s">
        <v>148</v>
      </c>
      <c r="E44" s="272" t="s">
        <v>1163</v>
      </c>
      <c r="F44" s="155" t="str">
        <f>_xlfn.XLOOKUP(B44,STUDIES!$A$3:$A$1063,STUDIES!$G$3:$G$1063,"Not Found!")</f>
        <v>A</v>
      </c>
      <c r="G44" s="273" t="s">
        <v>152</v>
      </c>
      <c r="H44" s="273">
        <v>52</v>
      </c>
      <c r="I44" s="273">
        <v>315</v>
      </c>
      <c r="J44" s="274">
        <v>16</v>
      </c>
      <c r="R44" s="268"/>
    </row>
    <row r="45" spans="1:47" ht="18" customHeight="1" x14ac:dyDescent="0.35">
      <c r="A45" s="274">
        <f>MATCH(B45,STUDIES!$A$3:$A$502,0)</f>
        <v>4</v>
      </c>
      <c r="B45" s="272" t="s">
        <v>357</v>
      </c>
      <c r="D45" s="281" t="s">
        <v>1059</v>
      </c>
      <c r="E45" s="272" t="s">
        <v>1167</v>
      </c>
      <c r="F45" s="155" t="str">
        <f>_xlfn.XLOOKUP(B45,STUDIES!$A$3:$A$1063,STUDIES!$G$3:$G$1063,"Not Found!")</f>
        <v>A</v>
      </c>
      <c r="G45" s="273" t="s">
        <v>152</v>
      </c>
      <c r="H45" s="273">
        <v>52</v>
      </c>
      <c r="I45" s="273">
        <v>315</v>
      </c>
      <c r="J45" s="274">
        <v>9</v>
      </c>
    </row>
    <row r="46" spans="1:47" ht="18" customHeight="1" x14ac:dyDescent="0.35">
      <c r="A46" s="274">
        <f>MATCH(B46,STUDIES!$A$3:$A$502,0)</f>
        <v>4</v>
      </c>
      <c r="B46" s="272" t="s">
        <v>357</v>
      </c>
      <c r="D46" s="281" t="s">
        <v>1056</v>
      </c>
      <c r="E46" s="272" t="s">
        <v>1167</v>
      </c>
      <c r="F46" s="155" t="str">
        <f>_xlfn.XLOOKUP(B46,STUDIES!$A$3:$A$1063,STUDIES!$G$3:$G$1063,"Not Found!")</f>
        <v>A</v>
      </c>
      <c r="G46" s="273" t="s">
        <v>152</v>
      </c>
      <c r="H46" s="273">
        <v>52</v>
      </c>
      <c r="I46" s="273">
        <v>110</v>
      </c>
      <c r="J46" s="274">
        <v>2</v>
      </c>
      <c r="Q46" s="275"/>
      <c r="R46" s="276"/>
    </row>
    <row r="47" spans="1:47" ht="18" customHeight="1" x14ac:dyDescent="0.35">
      <c r="A47" s="274">
        <f>MATCH(B47,STUDIES!$A$3:$A$502,0)</f>
        <v>4</v>
      </c>
      <c r="B47" s="272" t="s">
        <v>357</v>
      </c>
      <c r="D47" s="281" t="s">
        <v>148</v>
      </c>
      <c r="E47" s="272" t="s">
        <v>1167</v>
      </c>
      <c r="F47" s="155" t="str">
        <f>_xlfn.XLOOKUP(B47,STUDIES!$A$3:$A$1063,STUDIES!$G$3:$G$1063,"Not Found!")</f>
        <v>A</v>
      </c>
      <c r="G47" s="273" t="s">
        <v>152</v>
      </c>
      <c r="H47" s="273">
        <v>52</v>
      </c>
      <c r="I47" s="273">
        <v>315</v>
      </c>
      <c r="J47" s="274">
        <v>24</v>
      </c>
      <c r="Q47" s="275"/>
      <c r="R47" s="276"/>
    </row>
    <row r="48" spans="1:47" ht="18" customHeight="1" x14ac:dyDescent="0.35">
      <c r="A48" s="274">
        <f>MATCH(B48,STUDIES!$A$3:$A$502,0)</f>
        <v>5</v>
      </c>
      <c r="B48" s="270" t="s">
        <v>362</v>
      </c>
      <c r="C48" s="459"/>
      <c r="D48" s="269" t="s">
        <v>1059</v>
      </c>
      <c r="E48" s="256" t="s">
        <v>291</v>
      </c>
      <c r="F48" s="155" t="str">
        <f>_xlfn.XLOOKUP(B48,STUDIES!$A$3:$A$1063,STUDIES!$G$3:$G$1063,"Not Found!")</f>
        <v>A</v>
      </c>
      <c r="G48" s="257" t="s">
        <v>147</v>
      </c>
      <c r="H48" s="257">
        <v>16</v>
      </c>
      <c r="I48" s="257">
        <v>97</v>
      </c>
      <c r="J48" s="258"/>
      <c r="K48" s="259"/>
      <c r="L48" s="259"/>
      <c r="M48" s="259"/>
      <c r="N48" s="259"/>
      <c r="O48" s="259"/>
      <c r="P48" s="259"/>
      <c r="Q48" s="271" t="s">
        <v>90</v>
      </c>
      <c r="R48" s="259">
        <v>-4.46</v>
      </c>
      <c r="S48" s="259">
        <v>0.25600000000000001</v>
      </c>
      <c r="T48" s="259"/>
      <c r="U48" s="259"/>
      <c r="V48" s="259"/>
      <c r="W48" s="259"/>
      <c r="X48" s="264"/>
      <c r="Y48" s="259"/>
      <c r="Z48" s="259"/>
      <c r="AA48" s="259"/>
      <c r="AB48" s="259"/>
      <c r="AC48" s="259"/>
      <c r="AD48" s="264"/>
      <c r="AE48" s="259"/>
      <c r="AF48" s="259"/>
      <c r="AG48" s="259"/>
      <c r="AH48" s="259"/>
      <c r="AI48" s="259"/>
      <c r="AJ48" s="265"/>
      <c r="AK48" s="266"/>
      <c r="AL48" s="266"/>
      <c r="AM48" s="266"/>
      <c r="AN48" s="266"/>
      <c r="AO48" s="267"/>
      <c r="AP48" s="266"/>
      <c r="AQ48" s="266"/>
      <c r="AR48" s="266"/>
      <c r="AS48" s="266"/>
      <c r="AT48" s="266"/>
      <c r="AU48" s="267"/>
    </row>
    <row r="49" spans="1:48" ht="18" customHeight="1" x14ac:dyDescent="0.35">
      <c r="A49" s="274">
        <f>MATCH(B49,STUDIES!$A$3:$A$502,0)</f>
        <v>5</v>
      </c>
      <c r="B49" s="256" t="s">
        <v>362</v>
      </c>
      <c r="C49" s="458"/>
      <c r="D49" s="269" t="s">
        <v>1059</v>
      </c>
      <c r="E49" s="256" t="s">
        <v>153</v>
      </c>
      <c r="F49" s="155" t="str">
        <f>_xlfn.XLOOKUP(B49,STUDIES!$A$3:$A$1063,STUDIES!$G$3:$G$1063,"Not Found!")</f>
        <v>A</v>
      </c>
      <c r="G49" s="257" t="s">
        <v>147</v>
      </c>
      <c r="H49" s="257">
        <v>16</v>
      </c>
      <c r="I49" s="257">
        <v>97</v>
      </c>
      <c r="J49" s="258"/>
      <c r="K49" s="259"/>
      <c r="L49" s="259"/>
      <c r="M49" s="259"/>
      <c r="N49" s="259"/>
      <c r="O49" s="259"/>
      <c r="P49" s="259"/>
      <c r="Q49" s="271" t="s">
        <v>90</v>
      </c>
      <c r="R49" s="289">
        <v>-13.3</v>
      </c>
      <c r="S49" s="259">
        <v>0.7</v>
      </c>
      <c r="T49" s="259"/>
      <c r="U49" s="259"/>
      <c r="V49" s="259"/>
      <c r="W49" s="259"/>
      <c r="X49" s="264"/>
      <c r="Y49" s="259"/>
      <c r="Z49" s="259"/>
      <c r="AA49" s="259"/>
      <c r="AB49" s="259"/>
      <c r="AC49" s="259"/>
      <c r="AD49" s="264"/>
      <c r="AE49" s="259"/>
      <c r="AF49" s="259"/>
      <c r="AG49" s="259"/>
      <c r="AH49" s="259"/>
      <c r="AI49" s="259"/>
      <c r="AJ49" s="265"/>
      <c r="AK49" s="266"/>
      <c r="AL49" s="266"/>
      <c r="AM49" s="266"/>
      <c r="AN49" s="266"/>
      <c r="AO49" s="267"/>
      <c r="AP49" s="266"/>
      <c r="AQ49" s="266"/>
      <c r="AR49" s="266"/>
      <c r="AS49" s="266"/>
      <c r="AT49" s="266"/>
      <c r="AU49" s="267"/>
    </row>
    <row r="50" spans="1:48" ht="18" customHeight="1" x14ac:dyDescent="0.35">
      <c r="A50" s="274">
        <f>MATCH(B50,STUDIES!$A$3:$A$502,0)</f>
        <v>5</v>
      </c>
      <c r="B50" s="270" t="s">
        <v>362</v>
      </c>
      <c r="C50" s="459"/>
      <c r="D50" s="278" t="s">
        <v>148</v>
      </c>
      <c r="E50" s="256" t="s">
        <v>291</v>
      </c>
      <c r="F50" s="155" t="str">
        <f>_xlfn.XLOOKUP(B50,STUDIES!$A$3:$A$1063,STUDIES!$G$3:$G$1063,"Not Found!")</f>
        <v>A</v>
      </c>
      <c r="G50" s="257" t="s">
        <v>147</v>
      </c>
      <c r="H50" s="257">
        <v>16</v>
      </c>
      <c r="I50" s="257">
        <v>97</v>
      </c>
      <c r="J50" s="258"/>
      <c r="K50" s="259"/>
      <c r="L50" s="259"/>
      <c r="M50" s="259"/>
      <c r="N50" s="259"/>
      <c r="O50" s="259"/>
      <c r="P50" s="259"/>
      <c r="Q50" s="271" t="s">
        <v>90</v>
      </c>
      <c r="R50" s="289">
        <v>-2.33</v>
      </c>
      <c r="S50" s="259">
        <v>0.27400000000000002</v>
      </c>
      <c r="T50" s="259"/>
      <c r="U50" s="259"/>
      <c r="V50" s="259"/>
      <c r="W50" s="259"/>
      <c r="X50" s="264"/>
      <c r="Y50" s="259"/>
      <c r="Z50" s="259"/>
      <c r="AA50" s="259"/>
      <c r="AB50" s="259"/>
      <c r="AC50" s="259"/>
      <c r="AD50" s="264"/>
      <c r="AE50" s="259"/>
      <c r="AF50" s="259"/>
      <c r="AG50" s="259"/>
      <c r="AH50" s="259"/>
      <c r="AI50" s="259"/>
      <c r="AJ50" s="265"/>
      <c r="AK50" s="266"/>
      <c r="AL50" s="266"/>
      <c r="AM50" s="266"/>
      <c r="AN50" s="266"/>
      <c r="AO50" s="267"/>
      <c r="AP50" s="266"/>
      <c r="AQ50" s="266"/>
      <c r="AR50" s="266"/>
      <c r="AS50" s="266"/>
      <c r="AT50" s="266"/>
      <c r="AU50" s="267"/>
    </row>
    <row r="51" spans="1:48" ht="18" customHeight="1" x14ac:dyDescent="0.35">
      <c r="A51" s="274">
        <f>MATCH(B51,STUDIES!$A$3:$A$502,0)</f>
        <v>5</v>
      </c>
      <c r="B51" s="256" t="s">
        <v>362</v>
      </c>
      <c r="C51" s="458"/>
      <c r="D51" s="278" t="s">
        <v>148</v>
      </c>
      <c r="E51" s="256" t="s">
        <v>153</v>
      </c>
      <c r="F51" s="155" t="str">
        <f>_xlfn.XLOOKUP(B51,STUDIES!$A$3:$A$1063,STUDIES!$G$3:$G$1063,"Not Found!")</f>
        <v>A</v>
      </c>
      <c r="G51" s="257" t="s">
        <v>147</v>
      </c>
      <c r="H51" s="257">
        <v>16</v>
      </c>
      <c r="I51" s="257">
        <v>97</v>
      </c>
      <c r="J51" s="258"/>
      <c r="K51" s="259"/>
      <c r="L51" s="259"/>
      <c r="M51" s="259"/>
      <c r="N51" s="259"/>
      <c r="O51" s="259"/>
      <c r="P51" s="259"/>
      <c r="Q51" s="271" t="s">
        <v>90</v>
      </c>
      <c r="R51" s="289">
        <v>-4.8</v>
      </c>
      <c r="S51" s="259">
        <v>0.73</v>
      </c>
      <c r="T51" s="259"/>
      <c r="U51" s="259"/>
      <c r="V51" s="259"/>
      <c r="W51" s="259"/>
      <c r="X51" s="264"/>
      <c r="Y51" s="259"/>
      <c r="Z51" s="259"/>
      <c r="AA51" s="259"/>
      <c r="AB51" s="259"/>
      <c r="AC51" s="259"/>
      <c r="AD51" s="264"/>
      <c r="AE51" s="259"/>
      <c r="AF51" s="259"/>
      <c r="AG51" s="259"/>
      <c r="AH51" s="259"/>
      <c r="AI51" s="259"/>
      <c r="AJ51" s="265"/>
      <c r="AK51" s="266"/>
      <c r="AL51" s="266"/>
      <c r="AM51" s="266"/>
      <c r="AN51" s="266"/>
      <c r="AO51" s="267"/>
      <c r="AP51" s="266"/>
      <c r="AQ51" s="266"/>
      <c r="AR51" s="266"/>
      <c r="AS51" s="266"/>
      <c r="AT51" s="266"/>
      <c r="AU51" s="267"/>
    </row>
    <row r="52" spans="1:48" ht="18" customHeight="1" x14ac:dyDescent="0.35">
      <c r="A52" s="274">
        <f>MATCH(B52,STUDIES!$A$3:$A$502,0)</f>
        <v>5</v>
      </c>
      <c r="B52" s="272" t="s">
        <v>362</v>
      </c>
      <c r="D52" s="281" t="s">
        <v>1059</v>
      </c>
      <c r="E52" s="272" t="s">
        <v>1163</v>
      </c>
      <c r="F52" s="155" t="str">
        <f>_xlfn.XLOOKUP(B52,STUDIES!$A$3:$A$1063,STUDIES!$G$3:$G$1063,"Not Found!")</f>
        <v>A</v>
      </c>
      <c r="G52" s="273" t="s">
        <v>147</v>
      </c>
      <c r="H52" s="273">
        <v>16</v>
      </c>
      <c r="I52" s="273">
        <v>97</v>
      </c>
      <c r="J52" s="274">
        <v>3</v>
      </c>
      <c r="Q52" s="275"/>
    </row>
    <row r="53" spans="1:48" ht="18" customHeight="1" x14ac:dyDescent="0.35">
      <c r="A53" s="274">
        <f>MATCH(B53,STUDIES!$A$3:$A$502,0)</f>
        <v>5</v>
      </c>
      <c r="B53" s="272" t="s">
        <v>362</v>
      </c>
      <c r="D53" s="281" t="s">
        <v>148</v>
      </c>
      <c r="E53" s="272" t="s">
        <v>1163</v>
      </c>
      <c r="F53" s="155" t="str">
        <f>_xlfn.XLOOKUP(B53,STUDIES!$A$3:$A$1063,STUDIES!$G$3:$G$1063,"Not Found!")</f>
        <v>A</v>
      </c>
      <c r="G53" s="273" t="s">
        <v>147</v>
      </c>
      <c r="H53" s="273">
        <v>16</v>
      </c>
      <c r="I53" s="273">
        <v>97</v>
      </c>
      <c r="J53" s="274">
        <v>0</v>
      </c>
      <c r="Q53" s="275"/>
      <c r="R53" s="276"/>
    </row>
    <row r="54" spans="1:48" ht="18" customHeight="1" x14ac:dyDescent="0.35">
      <c r="A54" s="274">
        <f>MATCH(B54,STUDIES!$A$3:$A$502,0)</f>
        <v>5</v>
      </c>
      <c r="B54" s="272" t="s">
        <v>362</v>
      </c>
      <c r="D54" s="281" t="s">
        <v>1059</v>
      </c>
      <c r="E54" s="272" t="s">
        <v>1167</v>
      </c>
      <c r="F54" s="155" t="str">
        <f>_xlfn.XLOOKUP(B54,STUDIES!$A$3:$A$1063,STUDIES!$G$3:$G$1063,"Not Found!")</f>
        <v>A</v>
      </c>
      <c r="G54" s="273" t="s">
        <v>147</v>
      </c>
      <c r="H54" s="273">
        <v>16</v>
      </c>
      <c r="I54" s="273">
        <v>97</v>
      </c>
      <c r="J54" s="274">
        <v>5</v>
      </c>
      <c r="Q54" s="275"/>
      <c r="R54" s="276"/>
    </row>
    <row r="55" spans="1:48" ht="18" customHeight="1" x14ac:dyDescent="0.35">
      <c r="A55" s="274">
        <f>MATCH(B55,STUDIES!$A$3:$A$502,0)</f>
        <v>5</v>
      </c>
      <c r="B55" s="272" t="s">
        <v>362</v>
      </c>
      <c r="D55" s="281" t="s">
        <v>148</v>
      </c>
      <c r="E55" s="272" t="s">
        <v>1167</v>
      </c>
      <c r="F55" s="155" t="str">
        <f>_xlfn.XLOOKUP(B55,STUDIES!$A$3:$A$1063,STUDIES!$G$3:$G$1063,"Not Found!")</f>
        <v>A</v>
      </c>
      <c r="G55" s="273" t="s">
        <v>147</v>
      </c>
      <c r="H55" s="273">
        <v>16</v>
      </c>
      <c r="I55" s="273">
        <v>97</v>
      </c>
      <c r="J55" s="274">
        <v>0</v>
      </c>
      <c r="Q55" s="275"/>
      <c r="R55" s="276"/>
    </row>
    <row r="56" spans="1:48" ht="18" customHeight="1" x14ac:dyDescent="0.35">
      <c r="A56" s="274">
        <f>MATCH(B56,STUDIES!$A$3:$A$502,0)</f>
        <v>6</v>
      </c>
      <c r="B56" s="272" t="s">
        <v>781</v>
      </c>
      <c r="D56" s="281" t="s">
        <v>1086</v>
      </c>
      <c r="E56" s="272" t="s">
        <v>785</v>
      </c>
      <c r="F56" s="155" t="str">
        <f>_xlfn.XLOOKUP(B56,STUDIES!$A$3:$A$1063,STUDIES!$G$3:$G$1063,"Not Found!")</f>
        <v>C</v>
      </c>
      <c r="G56" s="273" t="s">
        <v>152</v>
      </c>
      <c r="H56" s="273">
        <v>24</v>
      </c>
      <c r="I56" s="273">
        <v>30</v>
      </c>
      <c r="Q56" s="275"/>
      <c r="R56" s="276"/>
      <c r="AD56" s="276">
        <v>-3.5</v>
      </c>
      <c r="AG56" s="268">
        <v>-6.4</v>
      </c>
      <c r="AH56" s="268">
        <v>-0.5</v>
      </c>
      <c r="AI56" s="268">
        <v>0.95</v>
      </c>
      <c r="AV56" s="268" t="s">
        <v>937</v>
      </c>
    </row>
    <row r="57" spans="1:48" ht="18" customHeight="1" x14ac:dyDescent="0.35">
      <c r="A57" s="274">
        <f>MATCH(B57,STUDIES!$A$3:$A$502,0)</f>
        <v>6</v>
      </c>
      <c r="B57" s="272" t="s">
        <v>781</v>
      </c>
      <c r="D57" s="269" t="s">
        <v>1086</v>
      </c>
      <c r="E57" s="272" t="s">
        <v>151</v>
      </c>
      <c r="F57" s="155" t="str">
        <f>_xlfn.XLOOKUP(B57,STUDIES!$A$3:$A$1063,STUDIES!$G$3:$G$1063,"Not Found!")</f>
        <v>C</v>
      </c>
      <c r="G57" s="273" t="s">
        <v>152</v>
      </c>
      <c r="H57" s="273">
        <v>24</v>
      </c>
      <c r="I57" s="273">
        <v>30</v>
      </c>
      <c r="K57" s="268">
        <v>45.5</v>
      </c>
      <c r="M57" s="268">
        <v>10.1</v>
      </c>
      <c r="Q57" s="275" t="s">
        <v>782</v>
      </c>
      <c r="R57" s="276">
        <v>-12.7</v>
      </c>
      <c r="T57" s="268">
        <v>15.2</v>
      </c>
      <c r="X57" s="276">
        <v>32.799999999999997</v>
      </c>
      <c r="Z57" s="268">
        <v>13.5</v>
      </c>
      <c r="AD57" s="276">
        <v>-6.7</v>
      </c>
      <c r="AG57" s="268">
        <v>-13.2</v>
      </c>
      <c r="AH57" s="268">
        <v>-0.1</v>
      </c>
      <c r="AI57" s="268">
        <v>0.95</v>
      </c>
      <c r="AV57" s="268" t="s">
        <v>937</v>
      </c>
    </row>
    <row r="58" spans="1:48" ht="18" customHeight="1" x14ac:dyDescent="0.35">
      <c r="A58" s="274">
        <f>MATCH(B58,STUDIES!$A$3:$A$502,0)</f>
        <v>6</v>
      </c>
      <c r="B58" s="272" t="s">
        <v>781</v>
      </c>
      <c r="D58" s="281" t="s">
        <v>1086</v>
      </c>
      <c r="E58" s="272" t="s">
        <v>149</v>
      </c>
      <c r="F58" s="155" t="str">
        <f>_xlfn.XLOOKUP(B58,STUDIES!$A$3:$A$1063,STUDIES!$G$3:$G$1063,"Not Found!")</f>
        <v>C</v>
      </c>
      <c r="G58" s="273" t="s">
        <v>152</v>
      </c>
      <c r="H58" s="273">
        <v>24</v>
      </c>
      <c r="I58" s="273">
        <v>30</v>
      </c>
      <c r="K58" s="268">
        <v>55.5</v>
      </c>
      <c r="M58" s="268">
        <v>9.5</v>
      </c>
      <c r="Q58" s="275" t="s">
        <v>783</v>
      </c>
      <c r="R58" s="276">
        <v>-12.4</v>
      </c>
      <c r="T58" s="268">
        <v>12.1</v>
      </c>
      <c r="X58" s="276">
        <v>43.1</v>
      </c>
      <c r="Z58" s="268">
        <v>12.5</v>
      </c>
      <c r="AD58" s="276">
        <v>-6.9</v>
      </c>
      <c r="AG58" s="268">
        <v>-12.2</v>
      </c>
      <c r="AH58" s="268">
        <v>-1.5</v>
      </c>
      <c r="AI58" s="268">
        <v>0.95</v>
      </c>
      <c r="AV58" s="268" t="s">
        <v>937</v>
      </c>
    </row>
    <row r="59" spans="1:48" ht="18" customHeight="1" x14ac:dyDescent="0.35">
      <c r="A59" s="274">
        <f>MATCH(B59,STUDIES!$A$3:$A$502,0)</f>
        <v>6</v>
      </c>
      <c r="B59" s="272" t="s">
        <v>781</v>
      </c>
      <c r="D59" s="281" t="s">
        <v>1086</v>
      </c>
      <c r="E59" s="272" t="s">
        <v>153</v>
      </c>
      <c r="F59" s="155" t="str">
        <f>_xlfn.XLOOKUP(B59,STUDIES!$A$3:$A$1063,STUDIES!$G$3:$G$1063,"Not Found!")</f>
        <v>C</v>
      </c>
      <c r="G59" s="273" t="s">
        <v>152</v>
      </c>
      <c r="H59" s="273">
        <v>24</v>
      </c>
      <c r="I59" s="273">
        <v>30</v>
      </c>
      <c r="K59" s="268">
        <v>20.7</v>
      </c>
      <c r="M59" s="268">
        <v>4.5999999999999996</v>
      </c>
      <c r="Q59" s="275" t="s">
        <v>150</v>
      </c>
      <c r="R59" s="276"/>
      <c r="X59" s="276">
        <v>14.7</v>
      </c>
      <c r="AA59" s="293">
        <v>12.5</v>
      </c>
      <c r="AB59" s="293">
        <v>17</v>
      </c>
      <c r="AC59" s="294">
        <v>0.95</v>
      </c>
      <c r="AD59" s="276">
        <v>-1.1000000000000001</v>
      </c>
      <c r="AG59" s="268">
        <v>-4.5999999999999996</v>
      </c>
      <c r="AH59" s="268">
        <v>2.4</v>
      </c>
      <c r="AI59" s="268">
        <v>0.95</v>
      </c>
      <c r="AV59" s="268" t="s">
        <v>937</v>
      </c>
    </row>
    <row r="60" spans="1:48" ht="18" customHeight="1" x14ac:dyDescent="0.35">
      <c r="A60" s="274">
        <f>MATCH(B60,STUDIES!$A$3:$A$502,0)</f>
        <v>6</v>
      </c>
      <c r="B60" s="272" t="s">
        <v>781</v>
      </c>
      <c r="D60" s="281" t="s">
        <v>1086</v>
      </c>
      <c r="E60" s="272" t="s">
        <v>1163</v>
      </c>
      <c r="F60" s="155" t="str">
        <f>_xlfn.XLOOKUP(B60,STUDIES!$A$3:$A$1063,STUDIES!$G$3:$G$1063,"Not Found!")</f>
        <v>C</v>
      </c>
      <c r="G60" s="273" t="s">
        <v>152</v>
      </c>
      <c r="H60" s="273">
        <v>24</v>
      </c>
      <c r="I60" s="273">
        <v>30</v>
      </c>
      <c r="J60" s="274">
        <v>6</v>
      </c>
      <c r="Q60" s="275"/>
      <c r="R60" s="276"/>
    </row>
    <row r="61" spans="1:48" ht="18" customHeight="1" x14ac:dyDescent="0.35">
      <c r="A61" s="274">
        <f>MATCH(B61,STUDIES!$A$3:$A$502,0)</f>
        <v>6</v>
      </c>
      <c r="B61" s="272" t="s">
        <v>781</v>
      </c>
      <c r="D61" s="281" t="s">
        <v>148</v>
      </c>
      <c r="E61" s="272" t="s">
        <v>785</v>
      </c>
      <c r="F61" s="155" t="str">
        <f>_xlfn.XLOOKUP(B61,STUDIES!$A$3:$A$1063,STUDIES!$G$3:$G$1063,"Not Found!")</f>
        <v>C</v>
      </c>
      <c r="G61" s="273" t="s">
        <v>152</v>
      </c>
      <c r="H61" s="273">
        <v>24</v>
      </c>
      <c r="I61" s="273">
        <v>32</v>
      </c>
      <c r="Q61" s="275"/>
      <c r="R61" s="276"/>
      <c r="AA61" s="293"/>
      <c r="AB61" s="293"/>
      <c r="AC61" s="293"/>
      <c r="AD61" s="276">
        <v>-3.5</v>
      </c>
      <c r="AG61" s="268">
        <v>-6.4</v>
      </c>
      <c r="AH61" s="268">
        <v>-0.5</v>
      </c>
      <c r="AI61" s="268">
        <v>0.95</v>
      </c>
      <c r="AV61" s="268" t="s">
        <v>937</v>
      </c>
    </row>
    <row r="62" spans="1:48" ht="18" customHeight="1" x14ac:dyDescent="0.35">
      <c r="A62" s="274">
        <f>MATCH(B62,STUDIES!$A$3:$A$502,0)</f>
        <v>6</v>
      </c>
      <c r="B62" s="272" t="s">
        <v>781</v>
      </c>
      <c r="D62" s="269" t="s">
        <v>148</v>
      </c>
      <c r="E62" s="272" t="s">
        <v>151</v>
      </c>
      <c r="F62" s="155" t="str">
        <f>_xlfn.XLOOKUP(B62,STUDIES!$A$3:$A$1063,STUDIES!$G$3:$G$1063,"Not Found!")</f>
        <v>C</v>
      </c>
      <c r="G62" s="273" t="s">
        <v>152</v>
      </c>
      <c r="H62" s="273">
        <v>24</v>
      </c>
      <c r="I62" s="273">
        <v>32</v>
      </c>
      <c r="K62" s="268">
        <v>43.5</v>
      </c>
      <c r="M62" s="268">
        <v>11.1</v>
      </c>
      <c r="Q62" s="275" t="s">
        <v>782</v>
      </c>
      <c r="R62" s="276">
        <v>-4.9000000000000004</v>
      </c>
      <c r="T62" s="268">
        <v>13.5</v>
      </c>
      <c r="X62" s="276">
        <v>38.4</v>
      </c>
      <c r="Z62" s="268">
        <v>12.4</v>
      </c>
      <c r="AA62" s="293"/>
      <c r="AB62" s="293"/>
      <c r="AC62" s="293"/>
      <c r="AD62" s="276">
        <v>-6.7</v>
      </c>
      <c r="AG62" s="268">
        <v>-13.2</v>
      </c>
      <c r="AH62" s="268">
        <v>-0.1</v>
      </c>
      <c r="AI62" s="268">
        <v>0.95</v>
      </c>
      <c r="AV62" s="268" t="s">
        <v>937</v>
      </c>
    </row>
    <row r="63" spans="1:48" ht="18" customHeight="1" x14ac:dyDescent="0.35">
      <c r="A63" s="274">
        <f>MATCH(B63,STUDIES!$A$3:$A$502,0)</f>
        <v>6</v>
      </c>
      <c r="B63" s="272" t="s">
        <v>781</v>
      </c>
      <c r="D63" s="281" t="s">
        <v>148</v>
      </c>
      <c r="E63" s="272" t="s">
        <v>149</v>
      </c>
      <c r="F63" s="155" t="str">
        <f>_xlfn.XLOOKUP(B63,STUDIES!$A$3:$A$1063,STUDIES!$G$3:$G$1063,"Not Found!")</f>
        <v>C</v>
      </c>
      <c r="G63" s="273" t="s">
        <v>152</v>
      </c>
      <c r="H63" s="273">
        <v>24</v>
      </c>
      <c r="I63" s="273">
        <v>32</v>
      </c>
      <c r="K63" s="268">
        <v>54.3</v>
      </c>
      <c r="M63" s="268">
        <v>7.7</v>
      </c>
      <c r="Q63" s="275" t="s">
        <v>782</v>
      </c>
      <c r="R63" s="276">
        <v>-5.0999999999999996</v>
      </c>
      <c r="T63" s="268">
        <v>11.7</v>
      </c>
      <c r="X63" s="276">
        <v>49.2</v>
      </c>
      <c r="Z63" s="268">
        <v>11.3</v>
      </c>
      <c r="AA63" s="293"/>
      <c r="AB63" s="293"/>
      <c r="AC63" s="293"/>
      <c r="AD63" s="276">
        <v>-6.9</v>
      </c>
      <c r="AG63" s="268">
        <v>-12.2</v>
      </c>
      <c r="AH63" s="268">
        <v>-1.5</v>
      </c>
      <c r="AI63" s="268">
        <v>0.95</v>
      </c>
      <c r="AV63" s="268" t="s">
        <v>937</v>
      </c>
    </row>
    <row r="64" spans="1:48" ht="18" customHeight="1" x14ac:dyDescent="0.35">
      <c r="A64" s="274">
        <f>MATCH(B64,STUDIES!$A$3:$A$502,0)</f>
        <v>6</v>
      </c>
      <c r="B64" s="272" t="s">
        <v>781</v>
      </c>
      <c r="D64" s="281" t="s">
        <v>148</v>
      </c>
      <c r="E64" s="272" t="s">
        <v>153</v>
      </c>
      <c r="F64" s="155" t="str">
        <f>_xlfn.XLOOKUP(B64,STUDIES!$A$3:$A$1063,STUDIES!$G$3:$G$1063,"Not Found!")</f>
        <v>C</v>
      </c>
      <c r="G64" s="273" t="s">
        <v>152</v>
      </c>
      <c r="H64" s="273">
        <v>24</v>
      </c>
      <c r="I64" s="273">
        <v>32</v>
      </c>
      <c r="K64" s="268">
        <v>22.2</v>
      </c>
      <c r="M64" s="268">
        <v>3.9</v>
      </c>
      <c r="Q64" s="275" t="s">
        <v>150</v>
      </c>
      <c r="R64" s="276"/>
      <c r="X64" s="276">
        <v>14.9</v>
      </c>
      <c r="AA64" s="293">
        <v>11.8</v>
      </c>
      <c r="AB64" s="293">
        <v>18</v>
      </c>
      <c r="AC64" s="294">
        <v>0.95</v>
      </c>
      <c r="AD64" s="276">
        <v>-1.1000000000000001</v>
      </c>
      <c r="AG64" s="268">
        <v>-4.5999999999999996</v>
      </c>
      <c r="AH64" s="268">
        <v>2.4</v>
      </c>
      <c r="AI64" s="268">
        <v>0.95</v>
      </c>
    </row>
    <row r="65" spans="1:47" ht="18" customHeight="1" x14ac:dyDescent="0.35">
      <c r="A65" s="274">
        <f>MATCH(B65,STUDIES!$A$3:$A$502,0)</f>
        <v>6</v>
      </c>
      <c r="B65" s="272" t="s">
        <v>781</v>
      </c>
      <c r="D65" s="281" t="s">
        <v>148</v>
      </c>
      <c r="E65" s="272" t="s">
        <v>1163</v>
      </c>
      <c r="F65" s="155" t="str">
        <f>_xlfn.XLOOKUP(B65,STUDIES!$A$3:$A$1063,STUDIES!$G$3:$G$1063,"Not Found!")</f>
        <v>C</v>
      </c>
      <c r="G65" s="273" t="s">
        <v>152</v>
      </c>
      <c r="H65" s="273">
        <v>24</v>
      </c>
      <c r="I65" s="273">
        <v>30</v>
      </c>
      <c r="J65" s="274">
        <v>6</v>
      </c>
      <c r="Q65" s="275"/>
      <c r="R65" s="276"/>
    </row>
    <row r="66" spans="1:47" ht="18" customHeight="1" x14ac:dyDescent="0.35">
      <c r="A66" s="274">
        <f>MATCH(B66,STUDIES!$A$3:$A$502,0)</f>
        <v>7</v>
      </c>
      <c r="B66" s="270" t="s">
        <v>173</v>
      </c>
      <c r="C66" s="459"/>
      <c r="D66" s="269" t="s">
        <v>1045</v>
      </c>
      <c r="E66" s="270" t="s">
        <v>898</v>
      </c>
      <c r="F66" s="155" t="str">
        <f>_xlfn.XLOOKUP(B66,STUDIES!$A$3:$A$1063,STUDIES!$G$3:$G$1063,"Not Found!")</f>
        <v>A</v>
      </c>
      <c r="G66" s="257" t="s">
        <v>147</v>
      </c>
      <c r="H66" s="257">
        <v>8</v>
      </c>
      <c r="I66" s="257">
        <v>53</v>
      </c>
      <c r="J66" s="258"/>
      <c r="K66" s="259">
        <v>15</v>
      </c>
      <c r="L66" s="259"/>
      <c r="M66" s="259">
        <v>7.3</v>
      </c>
      <c r="N66" s="259"/>
      <c r="O66" s="259"/>
      <c r="P66" s="259"/>
      <c r="Q66" s="271" t="s">
        <v>90</v>
      </c>
      <c r="R66" s="264"/>
      <c r="S66" s="259"/>
      <c r="T66" s="259"/>
      <c r="U66" s="259"/>
      <c r="V66" s="259"/>
      <c r="W66" s="259"/>
      <c r="X66" s="264">
        <v>8.8000000000000007</v>
      </c>
      <c r="Y66" s="259"/>
      <c r="Z66" s="259">
        <v>7.4</v>
      </c>
      <c r="AA66" s="259"/>
      <c r="AB66" s="259"/>
      <c r="AC66" s="259"/>
      <c r="AD66" s="264"/>
      <c r="AE66" s="259"/>
      <c r="AF66" s="259"/>
      <c r="AG66" s="259"/>
      <c r="AH66" s="259"/>
      <c r="AI66" s="259"/>
      <c r="AJ66" s="265"/>
      <c r="AK66" s="266"/>
      <c r="AL66" s="266"/>
      <c r="AM66" s="266"/>
      <c r="AN66" s="266"/>
      <c r="AO66" s="267"/>
      <c r="AP66" s="266"/>
      <c r="AQ66" s="266"/>
      <c r="AR66" s="266"/>
      <c r="AS66" s="266"/>
      <c r="AT66" s="266"/>
      <c r="AU66" s="267"/>
    </row>
    <row r="67" spans="1:47" ht="18" customHeight="1" x14ac:dyDescent="0.35">
      <c r="A67" s="274">
        <f>MATCH(B67,STUDIES!$A$3:$A$502,0)</f>
        <v>7</v>
      </c>
      <c r="B67" s="272" t="s">
        <v>173</v>
      </c>
      <c r="D67" s="269" t="s">
        <v>1045</v>
      </c>
      <c r="E67" s="272" t="s">
        <v>1163</v>
      </c>
      <c r="F67" s="155" t="str">
        <f>_xlfn.XLOOKUP(B67,STUDIES!$A$3:$A$1063,STUDIES!$G$3:$G$1063,"Not Found!")</f>
        <v>A</v>
      </c>
      <c r="G67" s="273" t="s">
        <v>147</v>
      </c>
      <c r="H67" s="273">
        <v>8</v>
      </c>
      <c r="I67" s="273">
        <v>53</v>
      </c>
      <c r="J67" s="274">
        <v>0</v>
      </c>
      <c r="Q67" s="275"/>
      <c r="R67" s="276"/>
    </row>
    <row r="68" spans="1:47" ht="18" customHeight="1" x14ac:dyDescent="0.35">
      <c r="A68" s="274">
        <f>MATCH(B68,STUDIES!$A$3:$A$502,0)</f>
        <v>7</v>
      </c>
      <c r="B68" s="270" t="s">
        <v>173</v>
      </c>
      <c r="C68" s="459"/>
      <c r="D68" s="269" t="s">
        <v>1045</v>
      </c>
      <c r="E68" s="270" t="s">
        <v>376</v>
      </c>
      <c r="F68" s="155" t="str">
        <f>_xlfn.XLOOKUP(B68,STUDIES!$A$3:$A$1063,STUDIES!$G$3:$G$1063,"Not Found!")</f>
        <v>A</v>
      </c>
      <c r="G68" s="257" t="s">
        <v>147</v>
      </c>
      <c r="H68" s="257">
        <v>8</v>
      </c>
      <c r="I68" s="257">
        <v>53</v>
      </c>
      <c r="J68" s="258"/>
      <c r="K68" s="259">
        <v>59</v>
      </c>
      <c r="L68" s="259"/>
      <c r="M68" s="259">
        <v>15.8</v>
      </c>
      <c r="N68" s="259"/>
      <c r="O68" s="259"/>
      <c r="P68" s="259"/>
      <c r="Q68" s="271" t="s">
        <v>150</v>
      </c>
      <c r="R68" s="295"/>
      <c r="S68" s="259"/>
      <c r="T68" s="259"/>
      <c r="U68" s="259"/>
      <c r="V68" s="259"/>
      <c r="W68" s="259"/>
      <c r="X68" s="264">
        <v>30.8</v>
      </c>
      <c r="Y68" s="259"/>
      <c r="Z68" s="259">
        <v>25.5</v>
      </c>
      <c r="AA68" s="259"/>
      <c r="AB68" s="259"/>
      <c r="AC68" s="259"/>
      <c r="AD68" s="264"/>
      <c r="AE68" s="259"/>
      <c r="AF68" s="259"/>
      <c r="AG68" s="259"/>
      <c r="AH68" s="259"/>
      <c r="AI68" s="259"/>
      <c r="AJ68" s="265"/>
      <c r="AK68" s="266"/>
      <c r="AL68" s="266"/>
      <c r="AM68" s="266"/>
      <c r="AN68" s="266"/>
      <c r="AO68" s="267"/>
      <c r="AP68" s="266"/>
      <c r="AQ68" s="266"/>
      <c r="AR68" s="266"/>
      <c r="AS68" s="266"/>
      <c r="AT68" s="266"/>
      <c r="AU68" s="267"/>
    </row>
    <row r="69" spans="1:47" ht="18" customHeight="1" x14ac:dyDescent="0.35">
      <c r="A69" s="274">
        <f>MATCH(B69,STUDIES!$A$3:$A$502,0)</f>
        <v>7</v>
      </c>
      <c r="B69" s="272" t="s">
        <v>173</v>
      </c>
      <c r="D69" s="281" t="s">
        <v>1045</v>
      </c>
      <c r="E69" s="272" t="s">
        <v>1167</v>
      </c>
      <c r="F69" s="155" t="str">
        <f>_xlfn.XLOOKUP(B69,STUDIES!$A$3:$A$1063,STUDIES!$G$3:$G$1063,"Not Found!")</f>
        <v>A</v>
      </c>
      <c r="G69" s="273" t="s">
        <v>147</v>
      </c>
      <c r="H69" s="273">
        <v>8</v>
      </c>
      <c r="I69" s="273">
        <v>53</v>
      </c>
      <c r="J69" s="274">
        <v>0</v>
      </c>
      <c r="Q69" s="275"/>
      <c r="R69" s="421"/>
    </row>
    <row r="70" spans="1:47" ht="18" customHeight="1" x14ac:dyDescent="0.35">
      <c r="A70" s="274">
        <f>MATCH(B70,STUDIES!$A$3:$A$502,0)</f>
        <v>7</v>
      </c>
      <c r="B70" s="270" t="s">
        <v>173</v>
      </c>
      <c r="C70" s="459"/>
      <c r="D70" s="269" t="s">
        <v>1046</v>
      </c>
      <c r="E70" s="270" t="s">
        <v>898</v>
      </c>
      <c r="F70" s="155" t="str">
        <f>_xlfn.XLOOKUP(B70,STUDIES!$A$3:$A$1063,STUDIES!$G$3:$G$1063,"Not Found!")</f>
        <v>A</v>
      </c>
      <c r="G70" s="257" t="s">
        <v>147</v>
      </c>
      <c r="H70" s="257">
        <v>8</v>
      </c>
      <c r="I70" s="257">
        <v>53</v>
      </c>
      <c r="J70" s="258"/>
      <c r="K70" s="259">
        <v>15.5</v>
      </c>
      <c r="L70" s="259"/>
      <c r="M70" s="259">
        <v>7.5</v>
      </c>
      <c r="N70" s="259"/>
      <c r="O70" s="259"/>
      <c r="P70" s="259"/>
      <c r="Q70" s="271" t="s">
        <v>90</v>
      </c>
      <c r="R70" s="264"/>
      <c r="S70" s="259"/>
      <c r="T70" s="259"/>
      <c r="U70" s="259"/>
      <c r="V70" s="259"/>
      <c r="W70" s="259"/>
      <c r="X70" s="264">
        <v>6.6</v>
      </c>
      <c r="Y70" s="259"/>
      <c r="Z70" s="259">
        <v>6.5</v>
      </c>
      <c r="AA70" s="259"/>
      <c r="AB70" s="259"/>
      <c r="AC70" s="259"/>
      <c r="AD70" s="264"/>
      <c r="AE70" s="259"/>
      <c r="AF70" s="259"/>
      <c r="AG70" s="259"/>
      <c r="AH70" s="259"/>
      <c r="AI70" s="259"/>
      <c r="AJ70" s="265"/>
      <c r="AK70" s="266"/>
      <c r="AL70" s="266"/>
      <c r="AM70" s="266"/>
      <c r="AN70" s="266"/>
      <c r="AO70" s="267"/>
      <c r="AP70" s="266"/>
      <c r="AQ70" s="266"/>
      <c r="AR70" s="266"/>
      <c r="AS70" s="266"/>
      <c r="AT70" s="266"/>
      <c r="AU70" s="267"/>
    </row>
    <row r="71" spans="1:47" ht="18" customHeight="1" x14ac:dyDescent="0.35">
      <c r="A71" s="274">
        <f>MATCH(B71,STUDIES!$A$3:$A$502,0)</f>
        <v>7</v>
      </c>
      <c r="B71" s="270" t="s">
        <v>173</v>
      </c>
      <c r="C71" s="459"/>
      <c r="D71" s="269" t="s">
        <v>1046</v>
      </c>
      <c r="E71" s="270" t="s">
        <v>1035</v>
      </c>
      <c r="F71" s="155" t="str">
        <f>_xlfn.XLOOKUP(B71,STUDIES!$A$3:$A$1063,STUDIES!$G$3:$G$1063,"Not Found!")</f>
        <v>A</v>
      </c>
      <c r="G71" s="257" t="s">
        <v>147</v>
      </c>
      <c r="H71" s="257">
        <v>8</v>
      </c>
      <c r="I71" s="257">
        <v>53</v>
      </c>
      <c r="J71" s="258"/>
      <c r="K71" s="259">
        <v>63.7</v>
      </c>
      <c r="L71" s="259"/>
      <c r="M71" s="263">
        <v>19.399999999999999</v>
      </c>
      <c r="N71" s="259"/>
      <c r="O71" s="259"/>
      <c r="P71" s="259"/>
      <c r="Q71" s="261" t="s">
        <v>235</v>
      </c>
      <c r="R71" s="264"/>
      <c r="S71" s="259"/>
      <c r="T71" s="259"/>
      <c r="U71" s="259"/>
      <c r="V71" s="259"/>
      <c r="W71" s="259"/>
      <c r="X71" s="264">
        <v>29.1</v>
      </c>
      <c r="Y71" s="259"/>
      <c r="Z71" s="263">
        <v>27.3</v>
      </c>
      <c r="AA71" s="263"/>
      <c r="AB71" s="263"/>
      <c r="AC71" s="263"/>
      <c r="AD71" s="264"/>
      <c r="AE71" s="259"/>
      <c r="AF71" s="259"/>
      <c r="AG71" s="259"/>
      <c r="AH71" s="259"/>
      <c r="AI71" s="259"/>
      <c r="AJ71" s="265"/>
      <c r="AK71" s="266"/>
      <c r="AL71" s="266"/>
      <c r="AM71" s="266"/>
      <c r="AN71" s="266"/>
      <c r="AO71" s="267"/>
      <c r="AP71" s="266"/>
      <c r="AQ71" s="266"/>
      <c r="AR71" s="266"/>
      <c r="AS71" s="266"/>
      <c r="AT71" s="266"/>
      <c r="AU71" s="267"/>
    </row>
    <row r="72" spans="1:47" ht="18" customHeight="1" x14ac:dyDescent="0.35">
      <c r="A72" s="274">
        <f>MATCH(B72,STUDIES!$A$3:$A$502,0)</f>
        <v>7</v>
      </c>
      <c r="B72" s="272" t="s">
        <v>173</v>
      </c>
      <c r="D72" s="269" t="s">
        <v>1046</v>
      </c>
      <c r="E72" s="272" t="s">
        <v>1163</v>
      </c>
      <c r="F72" s="155" t="str">
        <f>_xlfn.XLOOKUP(B72,STUDIES!$A$3:$A$1063,STUDIES!$G$3:$G$1063,"Not Found!")</f>
        <v>A</v>
      </c>
      <c r="G72" s="273" t="s">
        <v>147</v>
      </c>
      <c r="H72" s="273">
        <v>8</v>
      </c>
      <c r="I72" s="273">
        <v>53</v>
      </c>
      <c r="J72" s="274">
        <v>0</v>
      </c>
      <c r="Q72" s="275"/>
      <c r="R72" s="276"/>
    </row>
    <row r="73" spans="1:47" ht="18" customHeight="1" x14ac:dyDescent="0.35">
      <c r="A73" s="274">
        <f>MATCH(B73,STUDIES!$A$3:$A$502,0)</f>
        <v>7</v>
      </c>
      <c r="B73" s="270" t="s">
        <v>173</v>
      </c>
      <c r="C73" s="459"/>
      <c r="D73" s="269" t="s">
        <v>1046</v>
      </c>
      <c r="E73" s="270" t="s">
        <v>376</v>
      </c>
      <c r="F73" s="155" t="str">
        <f>_xlfn.XLOOKUP(B73,STUDIES!$A$3:$A$1063,STUDIES!$G$3:$G$1063,"Not Found!")</f>
        <v>A</v>
      </c>
      <c r="G73" s="257" t="s">
        <v>147</v>
      </c>
      <c r="H73" s="257">
        <v>8</v>
      </c>
      <c r="I73" s="257">
        <v>53</v>
      </c>
      <c r="J73" s="258"/>
      <c r="K73" s="259">
        <v>60.7</v>
      </c>
      <c r="L73" s="259"/>
      <c r="M73" s="259">
        <v>19</v>
      </c>
      <c r="N73" s="259"/>
      <c r="O73" s="259"/>
      <c r="P73" s="259"/>
      <c r="Q73" s="271" t="s">
        <v>150</v>
      </c>
      <c r="R73" s="264"/>
      <c r="S73" s="259"/>
      <c r="T73" s="259"/>
      <c r="U73" s="259"/>
      <c r="V73" s="259"/>
      <c r="W73" s="259"/>
      <c r="X73" s="264">
        <v>25.5</v>
      </c>
      <c r="Y73" s="259"/>
      <c r="Z73" s="259">
        <v>18.5</v>
      </c>
      <c r="AA73" s="259"/>
      <c r="AB73" s="259"/>
      <c r="AC73" s="259"/>
      <c r="AD73" s="264"/>
      <c r="AE73" s="259"/>
      <c r="AF73" s="259"/>
      <c r="AG73" s="259"/>
      <c r="AH73" s="259"/>
      <c r="AI73" s="259"/>
      <c r="AJ73" s="265"/>
      <c r="AK73" s="266"/>
      <c r="AL73" s="266"/>
      <c r="AM73" s="266"/>
      <c r="AN73" s="266"/>
      <c r="AO73" s="267"/>
      <c r="AP73" s="266"/>
      <c r="AQ73" s="266"/>
      <c r="AR73" s="266"/>
      <c r="AS73" s="266"/>
      <c r="AT73" s="266"/>
      <c r="AU73" s="267"/>
    </row>
    <row r="74" spans="1:47" ht="15" customHeight="1" x14ac:dyDescent="0.35">
      <c r="A74" s="274">
        <f>MATCH(B74,STUDIES!$A$3:$A$502,0)</f>
        <v>7</v>
      </c>
      <c r="B74" s="272" t="s">
        <v>173</v>
      </c>
      <c r="D74" s="281" t="s">
        <v>1046</v>
      </c>
      <c r="E74" s="272" t="s">
        <v>1167</v>
      </c>
      <c r="F74" s="155" t="str">
        <f>_xlfn.XLOOKUP(B74,STUDIES!$A$3:$A$1063,STUDIES!$G$3:$G$1063,"Not Found!")</f>
        <v>A</v>
      </c>
      <c r="G74" s="273" t="s">
        <v>147</v>
      </c>
      <c r="H74" s="273">
        <v>8</v>
      </c>
      <c r="I74" s="273">
        <v>53</v>
      </c>
      <c r="J74" s="274">
        <v>3</v>
      </c>
      <c r="Q74" s="275"/>
      <c r="R74" s="276"/>
    </row>
    <row r="75" spans="1:47" ht="18" customHeight="1" x14ac:dyDescent="0.35">
      <c r="A75" s="274">
        <f>MATCH(B75,STUDIES!$A$3:$A$502,0)</f>
        <v>7</v>
      </c>
      <c r="B75" s="272" t="s">
        <v>173</v>
      </c>
      <c r="D75" s="281" t="s">
        <v>1045</v>
      </c>
      <c r="E75" s="272" t="s">
        <v>1035</v>
      </c>
      <c r="F75" s="155" t="str">
        <f>_xlfn.XLOOKUP(B75,STUDIES!$A$3:$A$1063,STUDIES!$G$3:$G$1063,"Not Found!")</f>
        <v>A</v>
      </c>
      <c r="G75" s="273" t="s">
        <v>147</v>
      </c>
      <c r="H75" s="273">
        <v>8</v>
      </c>
      <c r="I75" s="273">
        <v>53</v>
      </c>
      <c r="K75" s="378">
        <v>68.599999999999994</v>
      </c>
      <c r="L75" s="372"/>
      <c r="M75" s="373">
        <v>21.5</v>
      </c>
      <c r="Q75" s="275"/>
      <c r="R75" s="276"/>
      <c r="X75" s="276">
        <v>34.4</v>
      </c>
      <c r="Y75" s="374"/>
      <c r="Z75" s="375">
        <v>25.2</v>
      </c>
    </row>
    <row r="76" spans="1:47" ht="18" customHeight="1" x14ac:dyDescent="0.35">
      <c r="A76" s="274">
        <f>MATCH(B76,STUDIES!$A$3:$A$502,0)</f>
        <v>8</v>
      </c>
      <c r="B76" s="270" t="s">
        <v>410</v>
      </c>
      <c r="C76" s="459"/>
      <c r="D76" s="269" t="s">
        <v>1059</v>
      </c>
      <c r="E76" s="256" t="s">
        <v>154</v>
      </c>
      <c r="F76" s="155" t="str">
        <f>_xlfn.XLOOKUP(B76,STUDIES!$A$3:$A$1063,STUDIES!$G$3:$G$1063,"Not Found!")</f>
        <v>A</v>
      </c>
      <c r="G76" s="257" t="s">
        <v>147</v>
      </c>
      <c r="H76" s="257">
        <v>16</v>
      </c>
      <c r="I76" s="257">
        <v>110</v>
      </c>
      <c r="J76" s="258"/>
      <c r="K76" s="259"/>
      <c r="L76" s="259"/>
      <c r="M76" s="259"/>
      <c r="N76" s="259"/>
      <c r="O76" s="259"/>
      <c r="P76" s="259"/>
      <c r="Q76" s="271" t="s">
        <v>90</v>
      </c>
      <c r="R76" s="264">
        <v>-8.8000000000000007</v>
      </c>
      <c r="S76" s="259">
        <v>0.45</v>
      </c>
      <c r="T76" s="259"/>
      <c r="U76" s="259"/>
      <c r="V76" s="259"/>
      <c r="W76" s="259"/>
      <c r="X76" s="264"/>
      <c r="Y76" s="259"/>
      <c r="Z76" s="259"/>
      <c r="AA76" s="259"/>
      <c r="AB76" s="259"/>
      <c r="AC76" s="259"/>
      <c r="AD76" s="264"/>
      <c r="AE76" s="259"/>
      <c r="AF76" s="259"/>
      <c r="AG76" s="259"/>
      <c r="AH76" s="259"/>
      <c r="AI76" s="259"/>
      <c r="AJ76" s="265"/>
      <c r="AK76" s="266"/>
      <c r="AL76" s="266"/>
      <c r="AM76" s="266"/>
      <c r="AN76" s="266"/>
      <c r="AO76" s="267"/>
      <c r="AP76" s="266"/>
      <c r="AQ76" s="266"/>
      <c r="AR76" s="266"/>
      <c r="AS76" s="266"/>
      <c r="AT76" s="266"/>
      <c r="AU76" s="267"/>
    </row>
    <row r="77" spans="1:47" ht="18" customHeight="1" x14ac:dyDescent="0.35">
      <c r="A77" s="274">
        <f>MATCH(B77,STUDIES!$A$3:$A$502,0)</f>
        <v>8</v>
      </c>
      <c r="B77" s="270" t="s">
        <v>410</v>
      </c>
      <c r="C77" s="459"/>
      <c r="D77" s="269" t="s">
        <v>1059</v>
      </c>
      <c r="E77" s="256" t="s">
        <v>151</v>
      </c>
      <c r="F77" s="155" t="str">
        <f>_xlfn.XLOOKUP(B77,STUDIES!$A$3:$A$1063,STUDIES!$G$3:$G$1063,"Not Found!")</f>
        <v>A</v>
      </c>
      <c r="G77" s="257" t="s">
        <v>147</v>
      </c>
      <c r="H77" s="257">
        <v>16</v>
      </c>
      <c r="I77" s="257">
        <v>110</v>
      </c>
      <c r="J77" s="258"/>
      <c r="K77" s="259"/>
      <c r="L77" s="259"/>
      <c r="M77" s="259"/>
      <c r="N77" s="259"/>
      <c r="O77" s="259"/>
      <c r="P77" s="259"/>
      <c r="Q77" s="271" t="s">
        <v>90</v>
      </c>
      <c r="R77" s="262">
        <v>-25.6</v>
      </c>
      <c r="S77" s="263">
        <v>0.9</v>
      </c>
      <c r="T77" s="259"/>
      <c r="U77" s="259"/>
      <c r="V77" s="259"/>
      <c r="W77" s="259"/>
      <c r="X77" s="264"/>
      <c r="Y77" s="259"/>
      <c r="Z77" s="259"/>
      <c r="AA77" s="259"/>
      <c r="AB77" s="259"/>
      <c r="AC77" s="259"/>
      <c r="AD77" s="264"/>
      <c r="AE77" s="259"/>
      <c r="AF77" s="259"/>
      <c r="AG77" s="259"/>
      <c r="AH77" s="259"/>
      <c r="AI77" s="259"/>
      <c r="AJ77" s="265"/>
      <c r="AK77" s="266"/>
      <c r="AL77" s="266"/>
      <c r="AM77" s="266"/>
      <c r="AN77" s="266"/>
      <c r="AO77" s="267"/>
      <c r="AP77" s="266"/>
      <c r="AQ77" s="266"/>
      <c r="AR77" s="266"/>
      <c r="AS77" s="266"/>
      <c r="AT77" s="266"/>
      <c r="AU77" s="267"/>
    </row>
    <row r="78" spans="1:47" ht="18" customHeight="1" x14ac:dyDescent="0.35">
      <c r="A78" s="274">
        <f>MATCH(B78,STUDIES!$A$3:$A$502,0)</f>
        <v>8</v>
      </c>
      <c r="B78" s="270" t="s">
        <v>410</v>
      </c>
      <c r="C78" s="459"/>
      <c r="D78" s="269" t="s">
        <v>1059</v>
      </c>
      <c r="E78" s="256" t="s">
        <v>291</v>
      </c>
      <c r="F78" s="155" t="str">
        <f>_xlfn.XLOOKUP(B78,STUDIES!$A$3:$A$1063,STUDIES!$G$3:$G$1063,"Not Found!")</f>
        <v>A</v>
      </c>
      <c r="G78" s="257" t="s">
        <v>147</v>
      </c>
      <c r="H78" s="257">
        <v>16</v>
      </c>
      <c r="I78" s="257">
        <v>110</v>
      </c>
      <c r="J78" s="258"/>
      <c r="K78" s="259"/>
      <c r="L78" s="259"/>
      <c r="M78" s="259"/>
      <c r="N78" s="259"/>
      <c r="O78" s="259"/>
      <c r="P78" s="259"/>
      <c r="Q78" s="271" t="s">
        <v>90</v>
      </c>
      <c r="R78" s="262">
        <v>-3.3</v>
      </c>
      <c r="S78" s="263">
        <v>0.19</v>
      </c>
      <c r="T78" s="259"/>
      <c r="U78" s="259"/>
      <c r="V78" s="259"/>
      <c r="W78" s="259"/>
      <c r="X78" s="264"/>
      <c r="Y78" s="259"/>
      <c r="Z78" s="259"/>
      <c r="AA78" s="259"/>
      <c r="AB78" s="259"/>
      <c r="AC78" s="259"/>
      <c r="AD78" s="264"/>
      <c r="AE78" s="259"/>
      <c r="AF78" s="259"/>
      <c r="AG78" s="259"/>
      <c r="AH78" s="259"/>
      <c r="AI78" s="259"/>
      <c r="AJ78" s="265"/>
      <c r="AK78" s="266"/>
      <c r="AL78" s="266"/>
      <c r="AM78" s="266"/>
      <c r="AN78" s="266"/>
      <c r="AO78" s="267"/>
      <c r="AP78" s="266"/>
      <c r="AQ78" s="266"/>
      <c r="AR78" s="266"/>
      <c r="AS78" s="266"/>
      <c r="AT78" s="266"/>
      <c r="AU78" s="267"/>
    </row>
    <row r="79" spans="1:47" ht="18" customHeight="1" x14ac:dyDescent="0.35">
      <c r="A79" s="274">
        <f>MATCH(B79,STUDIES!$A$3:$A$502,0)</f>
        <v>8</v>
      </c>
      <c r="B79" s="270" t="s">
        <v>410</v>
      </c>
      <c r="C79" s="459"/>
      <c r="D79" s="269" t="s">
        <v>1059</v>
      </c>
      <c r="E79" s="256" t="s">
        <v>153</v>
      </c>
      <c r="F79" s="155" t="str">
        <f>_xlfn.XLOOKUP(B79,STUDIES!$A$3:$A$1063,STUDIES!$G$3:$G$1063,"Not Found!")</f>
        <v>A</v>
      </c>
      <c r="G79" s="257" t="s">
        <v>147</v>
      </c>
      <c r="H79" s="257">
        <v>16</v>
      </c>
      <c r="I79" s="257">
        <v>110</v>
      </c>
      <c r="J79" s="258"/>
      <c r="K79" s="259"/>
      <c r="L79" s="259"/>
      <c r="M79" s="259"/>
      <c r="N79" s="259"/>
      <c r="O79" s="259"/>
      <c r="P79" s="259"/>
      <c r="Q79" s="271" t="s">
        <v>90</v>
      </c>
      <c r="R79" s="264">
        <v>-11.4</v>
      </c>
      <c r="S79" s="259">
        <v>0.59</v>
      </c>
      <c r="T79" s="259"/>
      <c r="U79" s="259"/>
      <c r="V79" s="259"/>
      <c r="W79" s="259"/>
      <c r="X79" s="264"/>
      <c r="Y79" s="259"/>
      <c r="Z79" s="259"/>
      <c r="AA79" s="259"/>
      <c r="AB79" s="259"/>
      <c r="AC79" s="259"/>
      <c r="AD79" s="264"/>
      <c r="AE79" s="259"/>
      <c r="AF79" s="259"/>
      <c r="AG79" s="259"/>
      <c r="AH79" s="259"/>
      <c r="AI79" s="259"/>
      <c r="AJ79" s="265"/>
      <c r="AK79" s="266"/>
      <c r="AL79" s="266"/>
      <c r="AM79" s="266"/>
      <c r="AN79" s="266"/>
      <c r="AO79" s="267"/>
      <c r="AP79" s="266"/>
      <c r="AQ79" s="266"/>
      <c r="AR79" s="266"/>
      <c r="AS79" s="266"/>
      <c r="AT79" s="266"/>
      <c r="AU79" s="267"/>
    </row>
    <row r="80" spans="1:47" ht="18" customHeight="1" x14ac:dyDescent="0.35">
      <c r="A80" s="274">
        <f>MATCH(B80,STUDIES!$A$3:$A$502,0)</f>
        <v>8</v>
      </c>
      <c r="B80" s="270" t="s">
        <v>410</v>
      </c>
      <c r="C80" s="459"/>
      <c r="D80" s="278" t="s">
        <v>1056</v>
      </c>
      <c r="E80" s="256" t="s">
        <v>154</v>
      </c>
      <c r="F80" s="155" t="str">
        <f>_xlfn.XLOOKUP(B80,STUDIES!$A$3:$A$1063,STUDIES!$G$3:$G$1063,"Not Found!")</f>
        <v>A</v>
      </c>
      <c r="G80" s="257" t="s">
        <v>147</v>
      </c>
      <c r="H80" s="257">
        <v>16</v>
      </c>
      <c r="I80" s="257">
        <v>107</v>
      </c>
      <c r="J80" s="258"/>
      <c r="K80" s="259"/>
      <c r="L80" s="259"/>
      <c r="M80" s="259"/>
      <c r="N80" s="259"/>
      <c r="O80" s="259"/>
      <c r="P80" s="259"/>
      <c r="Q80" s="271" t="s">
        <v>90</v>
      </c>
      <c r="R80" s="264">
        <v>-9.5</v>
      </c>
      <c r="S80" s="259">
        <v>0.46</v>
      </c>
      <c r="T80" s="259"/>
      <c r="U80" s="259"/>
      <c r="V80" s="259"/>
      <c r="W80" s="259"/>
      <c r="X80" s="264"/>
      <c r="Y80" s="259"/>
      <c r="Z80" s="259"/>
      <c r="AA80" s="259"/>
      <c r="AB80" s="259"/>
      <c r="AC80" s="259"/>
      <c r="AD80" s="264"/>
      <c r="AE80" s="259"/>
      <c r="AF80" s="259"/>
      <c r="AG80" s="259"/>
      <c r="AH80" s="259"/>
      <c r="AI80" s="259"/>
      <c r="AJ80" s="265"/>
      <c r="AK80" s="266"/>
      <c r="AL80" s="266"/>
      <c r="AM80" s="266"/>
      <c r="AN80" s="266"/>
      <c r="AO80" s="267"/>
      <c r="AP80" s="266"/>
      <c r="AQ80" s="266"/>
      <c r="AR80" s="266"/>
      <c r="AS80" s="266"/>
      <c r="AT80" s="266"/>
      <c r="AU80" s="267"/>
    </row>
    <row r="81" spans="1:47" ht="18" customHeight="1" x14ac:dyDescent="0.35">
      <c r="A81" s="274">
        <f>MATCH(B81,STUDIES!$A$3:$A$502,0)</f>
        <v>8</v>
      </c>
      <c r="B81" s="270" t="s">
        <v>410</v>
      </c>
      <c r="C81" s="459"/>
      <c r="D81" s="278" t="s">
        <v>1056</v>
      </c>
      <c r="E81" s="256" t="s">
        <v>151</v>
      </c>
      <c r="F81" s="155" t="str">
        <f>_xlfn.XLOOKUP(B81,STUDIES!$A$3:$A$1063,STUDIES!$G$3:$G$1063,"Not Found!")</f>
        <v>A</v>
      </c>
      <c r="G81" s="257" t="s">
        <v>147</v>
      </c>
      <c r="H81" s="257">
        <v>16</v>
      </c>
      <c r="I81" s="257">
        <v>107</v>
      </c>
      <c r="J81" s="258"/>
      <c r="K81" s="259"/>
      <c r="L81" s="259"/>
      <c r="M81" s="259"/>
      <c r="N81" s="259"/>
      <c r="O81" s="259"/>
      <c r="P81" s="259"/>
      <c r="Q81" s="279" t="s">
        <v>90</v>
      </c>
      <c r="R81" s="280">
        <v>-26</v>
      </c>
      <c r="S81" s="263">
        <v>0.92</v>
      </c>
      <c r="T81" s="259"/>
      <c r="U81" s="259"/>
      <c r="V81" s="259"/>
      <c r="W81" s="259"/>
      <c r="X81" s="264"/>
      <c r="Y81" s="259"/>
      <c r="Z81" s="259"/>
      <c r="AA81" s="259"/>
      <c r="AB81" s="259"/>
      <c r="AC81" s="259"/>
      <c r="AD81" s="264"/>
      <c r="AE81" s="259"/>
      <c r="AF81" s="259"/>
      <c r="AG81" s="259"/>
      <c r="AH81" s="259"/>
      <c r="AI81" s="259"/>
      <c r="AJ81" s="265"/>
      <c r="AK81" s="266"/>
      <c r="AL81" s="266"/>
      <c r="AM81" s="266"/>
      <c r="AN81" s="266"/>
      <c r="AO81" s="267"/>
      <c r="AP81" s="266"/>
      <c r="AQ81" s="266"/>
      <c r="AR81" s="266"/>
      <c r="AS81" s="266"/>
      <c r="AT81" s="266"/>
      <c r="AU81" s="267"/>
    </row>
    <row r="82" spans="1:47" ht="18" customHeight="1" x14ac:dyDescent="0.35">
      <c r="A82" s="274">
        <f>MATCH(B82,STUDIES!$A$3:$A$502,0)</f>
        <v>8</v>
      </c>
      <c r="B82" s="270" t="s">
        <v>410</v>
      </c>
      <c r="C82" s="459"/>
      <c r="D82" s="278" t="s">
        <v>1056</v>
      </c>
      <c r="E82" s="256" t="s">
        <v>291</v>
      </c>
      <c r="F82" s="155" t="str">
        <f>_xlfn.XLOOKUP(B82,STUDIES!$A$3:$A$1063,STUDIES!$G$3:$G$1063,"Not Found!")</f>
        <v>A</v>
      </c>
      <c r="G82" s="257" t="s">
        <v>147</v>
      </c>
      <c r="H82" s="257">
        <v>16</v>
      </c>
      <c r="I82" s="257">
        <v>107</v>
      </c>
      <c r="J82" s="258"/>
      <c r="K82" s="259"/>
      <c r="L82" s="259"/>
      <c r="M82" s="259"/>
      <c r="N82" s="259"/>
      <c r="O82" s="259"/>
      <c r="P82" s="259"/>
      <c r="Q82" s="279" t="s">
        <v>90</v>
      </c>
      <c r="R82" s="280">
        <v>-3.5</v>
      </c>
      <c r="S82" s="263">
        <v>0.19</v>
      </c>
      <c r="T82" s="259"/>
      <c r="U82" s="259"/>
      <c r="V82" s="259"/>
      <c r="W82" s="259"/>
      <c r="X82" s="264"/>
      <c r="Y82" s="259"/>
      <c r="Z82" s="259"/>
      <c r="AA82" s="259"/>
      <c r="AB82" s="259"/>
      <c r="AC82" s="259"/>
      <c r="AD82" s="264"/>
      <c r="AE82" s="259"/>
      <c r="AF82" s="259"/>
      <c r="AG82" s="259"/>
      <c r="AH82" s="259"/>
      <c r="AI82" s="259"/>
      <c r="AJ82" s="265"/>
      <c r="AK82" s="266"/>
      <c r="AL82" s="266"/>
      <c r="AM82" s="266"/>
      <c r="AN82" s="266"/>
      <c r="AO82" s="267"/>
      <c r="AP82" s="266"/>
      <c r="AQ82" s="266"/>
      <c r="AR82" s="266"/>
      <c r="AS82" s="266"/>
      <c r="AT82" s="266"/>
      <c r="AU82" s="267"/>
    </row>
    <row r="83" spans="1:47" ht="18" customHeight="1" x14ac:dyDescent="0.35">
      <c r="A83" s="274">
        <f>MATCH(B83,STUDIES!$A$3:$A$502,0)</f>
        <v>8</v>
      </c>
      <c r="B83" s="270" t="s">
        <v>410</v>
      </c>
      <c r="C83" s="459"/>
      <c r="D83" s="278" t="s">
        <v>1056</v>
      </c>
      <c r="E83" s="256" t="s">
        <v>153</v>
      </c>
      <c r="F83" s="155" t="str">
        <f>_xlfn.XLOOKUP(B83,STUDIES!$A$3:$A$1063,STUDIES!$G$3:$G$1063,"Not Found!")</f>
        <v>A</v>
      </c>
      <c r="G83" s="257" t="s">
        <v>147</v>
      </c>
      <c r="H83" s="257">
        <v>16</v>
      </c>
      <c r="I83" s="257">
        <v>107</v>
      </c>
      <c r="J83" s="258"/>
      <c r="K83" s="259"/>
      <c r="L83" s="259"/>
      <c r="M83" s="259"/>
      <c r="N83" s="259"/>
      <c r="O83" s="259"/>
      <c r="P83" s="259"/>
      <c r="Q83" s="279" t="s">
        <v>90</v>
      </c>
      <c r="R83" s="289">
        <v>-11.9</v>
      </c>
      <c r="S83" s="259">
        <v>0.6</v>
      </c>
      <c r="T83" s="259"/>
      <c r="U83" s="259"/>
      <c r="V83" s="259"/>
      <c r="W83" s="259"/>
      <c r="X83" s="264"/>
      <c r="Y83" s="259"/>
      <c r="Z83" s="259"/>
      <c r="AA83" s="259"/>
      <c r="AB83" s="259"/>
      <c r="AC83" s="259"/>
      <c r="AD83" s="264"/>
      <c r="AE83" s="259"/>
      <c r="AF83" s="259"/>
      <c r="AG83" s="259"/>
      <c r="AH83" s="259"/>
      <c r="AI83" s="259"/>
      <c r="AJ83" s="265"/>
      <c r="AK83" s="266"/>
      <c r="AL83" s="266"/>
      <c r="AM83" s="266"/>
      <c r="AN83" s="266"/>
      <c r="AO83" s="267"/>
      <c r="AP83" s="266"/>
      <c r="AQ83" s="266"/>
      <c r="AR83" s="266"/>
      <c r="AS83" s="266"/>
      <c r="AT83" s="266"/>
      <c r="AU83" s="267"/>
    </row>
    <row r="84" spans="1:47" ht="18" customHeight="1" x14ac:dyDescent="0.35">
      <c r="A84" s="274">
        <f>MATCH(B84,STUDIES!$A$3:$A$502,0)</f>
        <v>8</v>
      </c>
      <c r="B84" s="270" t="s">
        <v>410</v>
      </c>
      <c r="C84" s="459"/>
      <c r="D84" s="269" t="s">
        <v>148</v>
      </c>
      <c r="E84" s="256" t="s">
        <v>154</v>
      </c>
      <c r="F84" s="155" t="str">
        <f>_xlfn.XLOOKUP(B84,STUDIES!$A$3:$A$1063,STUDIES!$G$3:$G$1063,"Not Found!")</f>
        <v>A</v>
      </c>
      <c r="G84" s="257" t="s">
        <v>147</v>
      </c>
      <c r="H84" s="257">
        <v>16</v>
      </c>
      <c r="I84" s="257">
        <v>108</v>
      </c>
      <c r="J84" s="258"/>
      <c r="K84" s="259"/>
      <c r="L84" s="259"/>
      <c r="M84" s="259"/>
      <c r="N84" s="259"/>
      <c r="O84" s="259"/>
      <c r="P84" s="259"/>
      <c r="Q84" s="279" t="s">
        <v>90</v>
      </c>
      <c r="R84" s="289">
        <v>-4.5</v>
      </c>
      <c r="S84" s="259">
        <v>0.49</v>
      </c>
      <c r="T84" s="259"/>
      <c r="U84" s="259"/>
      <c r="V84" s="259"/>
      <c r="W84" s="259"/>
      <c r="X84" s="264"/>
      <c r="Y84" s="259"/>
      <c r="Z84" s="259"/>
      <c r="AA84" s="259"/>
      <c r="AB84" s="259"/>
      <c r="AC84" s="259"/>
      <c r="AD84" s="264"/>
      <c r="AE84" s="259"/>
      <c r="AF84" s="259"/>
      <c r="AG84" s="259"/>
      <c r="AH84" s="259"/>
      <c r="AI84" s="259"/>
      <c r="AJ84" s="265"/>
      <c r="AK84" s="266"/>
      <c r="AL84" s="266"/>
      <c r="AM84" s="266"/>
      <c r="AN84" s="266"/>
      <c r="AO84" s="267"/>
      <c r="AP84" s="266"/>
      <c r="AQ84" s="266"/>
      <c r="AR84" s="266"/>
      <c r="AS84" s="266"/>
      <c r="AT84" s="266"/>
      <c r="AU84" s="267"/>
    </row>
    <row r="85" spans="1:47" ht="18" customHeight="1" x14ac:dyDescent="0.35">
      <c r="A85" s="274">
        <f>MATCH(B85,STUDIES!$A$3:$A$502,0)</f>
        <v>8</v>
      </c>
      <c r="B85" s="270" t="s">
        <v>410</v>
      </c>
      <c r="C85" s="459"/>
      <c r="D85" s="269" t="s">
        <v>148</v>
      </c>
      <c r="E85" s="256" t="s">
        <v>151</v>
      </c>
      <c r="F85" s="155" t="str">
        <f>_xlfn.XLOOKUP(B85,STUDIES!$A$3:$A$1063,STUDIES!$G$3:$G$1063,"Not Found!")</f>
        <v>A</v>
      </c>
      <c r="G85" s="257" t="s">
        <v>147</v>
      </c>
      <c r="H85" s="257">
        <v>16</v>
      </c>
      <c r="I85" s="257">
        <v>108</v>
      </c>
      <c r="J85" s="258"/>
      <c r="K85" s="259"/>
      <c r="L85" s="259"/>
      <c r="M85" s="259"/>
      <c r="N85" s="259"/>
      <c r="O85" s="259"/>
      <c r="P85" s="259"/>
      <c r="Q85" s="279" t="s">
        <v>90</v>
      </c>
      <c r="R85" s="280">
        <v>-14.5</v>
      </c>
      <c r="S85" s="263">
        <v>0.98</v>
      </c>
      <c r="T85" s="259"/>
      <c r="U85" s="259"/>
      <c r="V85" s="259"/>
      <c r="W85" s="259"/>
      <c r="X85" s="264"/>
      <c r="Y85" s="259"/>
      <c r="Z85" s="259"/>
      <c r="AA85" s="259"/>
      <c r="AB85" s="259"/>
      <c r="AC85" s="259"/>
      <c r="AD85" s="264"/>
      <c r="AE85" s="259"/>
      <c r="AF85" s="259"/>
      <c r="AG85" s="259"/>
      <c r="AH85" s="259"/>
      <c r="AI85" s="259"/>
      <c r="AJ85" s="265"/>
      <c r="AK85" s="266"/>
      <c r="AL85" s="266"/>
      <c r="AM85" s="266"/>
      <c r="AN85" s="266"/>
      <c r="AO85" s="267"/>
      <c r="AP85" s="266"/>
      <c r="AQ85" s="266"/>
      <c r="AR85" s="266"/>
      <c r="AS85" s="266"/>
      <c r="AT85" s="266"/>
      <c r="AU85" s="267"/>
    </row>
    <row r="86" spans="1:47" ht="18" customHeight="1" x14ac:dyDescent="0.35">
      <c r="A86" s="274">
        <f>MATCH(B86,STUDIES!$A$3:$A$502,0)</f>
        <v>8</v>
      </c>
      <c r="B86" s="270" t="s">
        <v>410</v>
      </c>
      <c r="C86" s="459"/>
      <c r="D86" s="269" t="s">
        <v>148</v>
      </c>
      <c r="E86" s="256" t="s">
        <v>291</v>
      </c>
      <c r="F86" s="155" t="str">
        <f>_xlfn.XLOOKUP(B86,STUDIES!$A$3:$A$1063,STUDIES!$G$3:$G$1063,"Not Found!")</f>
        <v>A</v>
      </c>
      <c r="G86" s="257" t="s">
        <v>147</v>
      </c>
      <c r="H86" s="257">
        <v>16</v>
      </c>
      <c r="I86" s="257">
        <v>108</v>
      </c>
      <c r="J86" s="258"/>
      <c r="K86" s="259"/>
      <c r="L86" s="259"/>
      <c r="M86" s="259"/>
      <c r="N86" s="259"/>
      <c r="O86" s="259"/>
      <c r="P86" s="259"/>
      <c r="Q86" s="279" t="s">
        <v>90</v>
      </c>
      <c r="R86" s="280">
        <v>-1.7</v>
      </c>
      <c r="S86" s="263">
        <v>0.21</v>
      </c>
      <c r="T86" s="259"/>
      <c r="U86" s="259"/>
      <c r="V86" s="259"/>
      <c r="W86" s="259"/>
      <c r="X86" s="264"/>
      <c r="Y86" s="259"/>
      <c r="Z86" s="259"/>
      <c r="AA86" s="259"/>
      <c r="AB86" s="259"/>
      <c r="AC86" s="259"/>
      <c r="AD86" s="264"/>
      <c r="AE86" s="259"/>
      <c r="AF86" s="259"/>
      <c r="AG86" s="259"/>
      <c r="AH86" s="259"/>
      <c r="AI86" s="259"/>
      <c r="AJ86" s="265"/>
      <c r="AK86" s="266"/>
      <c r="AL86" s="266"/>
      <c r="AM86" s="266"/>
      <c r="AN86" s="266"/>
      <c r="AO86" s="267"/>
      <c r="AP86" s="266"/>
      <c r="AQ86" s="266"/>
      <c r="AR86" s="266"/>
      <c r="AS86" s="266"/>
      <c r="AT86" s="266"/>
      <c r="AU86" s="267"/>
    </row>
    <row r="87" spans="1:47" ht="18" customHeight="1" x14ac:dyDescent="0.35">
      <c r="A87" s="274">
        <f>MATCH(B87,STUDIES!$A$3:$A$502,0)</f>
        <v>8</v>
      </c>
      <c r="B87" s="270" t="s">
        <v>410</v>
      </c>
      <c r="C87" s="459"/>
      <c r="D87" s="269" t="s">
        <v>148</v>
      </c>
      <c r="E87" s="256" t="s">
        <v>153</v>
      </c>
      <c r="F87" s="155" t="str">
        <f>_xlfn.XLOOKUP(B87,STUDIES!$A$3:$A$1063,STUDIES!$G$3:$G$1063,"Not Found!")</f>
        <v>A</v>
      </c>
      <c r="G87" s="257" t="s">
        <v>147</v>
      </c>
      <c r="H87" s="257">
        <v>16</v>
      </c>
      <c r="I87" s="257">
        <v>108</v>
      </c>
      <c r="J87" s="258"/>
      <c r="K87" s="259"/>
      <c r="L87" s="259"/>
      <c r="M87" s="259"/>
      <c r="N87" s="259"/>
      <c r="O87" s="259"/>
      <c r="P87" s="259"/>
      <c r="Q87" s="279" t="s">
        <v>90</v>
      </c>
      <c r="R87" s="289">
        <v>-4.3</v>
      </c>
      <c r="S87" s="259">
        <v>0.62</v>
      </c>
      <c r="T87" s="259"/>
      <c r="U87" s="259"/>
      <c r="V87" s="259"/>
      <c r="W87" s="259"/>
      <c r="X87" s="264"/>
      <c r="Y87" s="259"/>
      <c r="Z87" s="259"/>
      <c r="AA87" s="259"/>
      <c r="AB87" s="259"/>
      <c r="AC87" s="259"/>
      <c r="AD87" s="264"/>
      <c r="AE87" s="259"/>
      <c r="AF87" s="259"/>
      <c r="AG87" s="259"/>
      <c r="AH87" s="259"/>
      <c r="AI87" s="259"/>
      <c r="AJ87" s="265"/>
      <c r="AK87" s="266"/>
      <c r="AL87" s="266"/>
      <c r="AM87" s="266"/>
      <c r="AN87" s="266"/>
      <c r="AO87" s="267"/>
      <c r="AP87" s="266"/>
      <c r="AQ87" s="266"/>
      <c r="AR87" s="266"/>
      <c r="AS87" s="266"/>
      <c r="AT87" s="266"/>
      <c r="AU87" s="267"/>
    </row>
    <row r="88" spans="1:47" ht="18" customHeight="1" x14ac:dyDescent="0.35">
      <c r="A88" s="274">
        <f>MATCH(B88,STUDIES!$A$3:$A$502,0)</f>
        <v>8</v>
      </c>
      <c r="B88" s="272" t="s">
        <v>410</v>
      </c>
      <c r="D88" s="269" t="s">
        <v>1059</v>
      </c>
      <c r="E88" s="272" t="s">
        <v>1163</v>
      </c>
      <c r="F88" s="155" t="str">
        <f>_xlfn.XLOOKUP(B88,STUDIES!$A$3:$A$1063,STUDIES!$G$3:$G$1063,"Not Found!")</f>
        <v>A</v>
      </c>
      <c r="G88" s="273" t="s">
        <v>147</v>
      </c>
      <c r="H88" s="273">
        <v>16</v>
      </c>
      <c r="I88" s="273">
        <v>110</v>
      </c>
      <c r="J88" s="274">
        <v>2</v>
      </c>
    </row>
    <row r="89" spans="1:47" ht="18" customHeight="1" x14ac:dyDescent="0.35">
      <c r="A89" s="274">
        <f>MATCH(B89,STUDIES!$A$3:$A$502,0)</f>
        <v>8</v>
      </c>
      <c r="B89" s="272" t="s">
        <v>410</v>
      </c>
      <c r="D89" s="278" t="s">
        <v>1056</v>
      </c>
      <c r="E89" s="272" t="s">
        <v>1163</v>
      </c>
      <c r="F89" s="155" t="str">
        <f>_xlfn.XLOOKUP(B89,STUDIES!$A$3:$A$1063,STUDIES!$G$3:$G$1063,"Not Found!")</f>
        <v>A</v>
      </c>
      <c r="G89" s="273" t="s">
        <v>147</v>
      </c>
      <c r="H89" s="273">
        <v>16</v>
      </c>
      <c r="I89" s="273">
        <v>107</v>
      </c>
      <c r="J89" s="274">
        <v>2</v>
      </c>
      <c r="Q89" s="275"/>
      <c r="R89" s="276"/>
    </row>
    <row r="90" spans="1:47" ht="18" customHeight="1" x14ac:dyDescent="0.35">
      <c r="A90" s="274">
        <f>MATCH(B90,STUDIES!$A$3:$A$502,0)</f>
        <v>8</v>
      </c>
      <c r="B90" s="272" t="s">
        <v>410</v>
      </c>
      <c r="D90" s="281" t="s">
        <v>148</v>
      </c>
      <c r="E90" s="272" t="s">
        <v>1163</v>
      </c>
      <c r="F90" s="155" t="str">
        <f>_xlfn.XLOOKUP(B90,STUDIES!$A$3:$A$1063,STUDIES!$G$3:$G$1063,"Not Found!")</f>
        <v>A</v>
      </c>
      <c r="G90" s="273" t="s">
        <v>147</v>
      </c>
      <c r="H90" s="273">
        <v>16</v>
      </c>
      <c r="I90" s="273">
        <v>108</v>
      </c>
      <c r="J90" s="274">
        <v>2</v>
      </c>
      <c r="Q90" s="275"/>
      <c r="R90" s="276"/>
    </row>
    <row r="91" spans="1:47" ht="18" customHeight="1" x14ac:dyDescent="0.35">
      <c r="A91" s="274">
        <f>MATCH(B91,STUDIES!$A$3:$A$502,0)</f>
        <v>8</v>
      </c>
      <c r="B91" s="272" t="s">
        <v>410</v>
      </c>
      <c r="D91" s="281" t="s">
        <v>1059</v>
      </c>
      <c r="E91" s="272" t="s">
        <v>1167</v>
      </c>
      <c r="F91" s="155" t="str">
        <f>_xlfn.XLOOKUP(B91,STUDIES!$A$3:$A$1063,STUDIES!$G$3:$G$1063,"Not Found!")</f>
        <v>A</v>
      </c>
      <c r="G91" s="273" t="s">
        <v>147</v>
      </c>
      <c r="H91" s="273">
        <v>16</v>
      </c>
      <c r="I91" s="273">
        <v>110</v>
      </c>
      <c r="J91" s="274">
        <v>2</v>
      </c>
      <c r="Q91" s="275"/>
      <c r="R91" s="276"/>
    </row>
    <row r="92" spans="1:47" ht="18" customHeight="1" x14ac:dyDescent="0.35">
      <c r="A92" s="274">
        <f>MATCH(B92,STUDIES!$A$3:$A$502,0)</f>
        <v>8</v>
      </c>
      <c r="B92" s="272" t="s">
        <v>410</v>
      </c>
      <c r="D92" s="281" t="s">
        <v>1056</v>
      </c>
      <c r="E92" s="272" t="s">
        <v>1167</v>
      </c>
      <c r="F92" s="155" t="str">
        <f>_xlfn.XLOOKUP(B92,STUDIES!$A$3:$A$1063,STUDIES!$G$3:$G$1063,"Not Found!")</f>
        <v>A</v>
      </c>
      <c r="G92" s="273" t="s">
        <v>147</v>
      </c>
      <c r="H92" s="273">
        <v>16</v>
      </c>
      <c r="I92" s="273">
        <v>107</v>
      </c>
      <c r="J92" s="274">
        <v>0</v>
      </c>
      <c r="Q92" s="275"/>
      <c r="R92" s="276"/>
    </row>
    <row r="93" spans="1:47" ht="18" customHeight="1" x14ac:dyDescent="0.35">
      <c r="A93" s="274">
        <f>MATCH(B93,STUDIES!$A$3:$A$502,0)</f>
        <v>8</v>
      </c>
      <c r="B93" s="272" t="s">
        <v>410</v>
      </c>
      <c r="D93" s="281" t="s">
        <v>148</v>
      </c>
      <c r="E93" s="272" t="s">
        <v>1167</v>
      </c>
      <c r="F93" s="155" t="str">
        <f>_xlfn.XLOOKUP(B93,STUDIES!$A$3:$A$1063,STUDIES!$G$3:$G$1063,"Not Found!")</f>
        <v>A</v>
      </c>
      <c r="G93" s="273" t="s">
        <v>147</v>
      </c>
      <c r="H93" s="273">
        <v>16</v>
      </c>
      <c r="I93" s="273">
        <v>108</v>
      </c>
      <c r="J93" s="274">
        <v>1</v>
      </c>
      <c r="Q93" s="275"/>
      <c r="R93" s="276"/>
    </row>
    <row r="94" spans="1:47" ht="18" customHeight="1" x14ac:dyDescent="0.35">
      <c r="A94" s="274">
        <f>MATCH(B94,STUDIES!$A$3:$A$502,0)</f>
        <v>9</v>
      </c>
      <c r="B94" s="272" t="s">
        <v>178</v>
      </c>
      <c r="D94" s="281" t="s">
        <v>1049</v>
      </c>
      <c r="E94" s="272" t="s">
        <v>1163</v>
      </c>
      <c r="F94" s="155" t="str">
        <f>_xlfn.XLOOKUP(B94,STUDIES!$A$3:$A$1063,STUDIES!$G$3:$G$1063,"Not Found!")</f>
        <v>C</v>
      </c>
      <c r="G94" s="273" t="s">
        <v>147</v>
      </c>
      <c r="H94" s="273">
        <v>12</v>
      </c>
      <c r="I94" s="273">
        <v>20</v>
      </c>
      <c r="J94" s="274">
        <v>0</v>
      </c>
      <c r="Q94" s="275"/>
      <c r="R94" s="276"/>
    </row>
    <row r="95" spans="1:47" ht="18" customHeight="1" x14ac:dyDescent="0.35">
      <c r="A95" s="274">
        <f>MATCH(B95,STUDIES!$A$3:$A$502,0)</f>
        <v>9</v>
      </c>
      <c r="B95" s="272" t="s">
        <v>178</v>
      </c>
      <c r="D95" s="281" t="s">
        <v>1049</v>
      </c>
      <c r="E95" s="272" t="s">
        <v>1167</v>
      </c>
      <c r="F95" s="155" t="str">
        <f>_xlfn.XLOOKUP(B95,STUDIES!$A$3:$A$1063,STUDIES!$G$3:$G$1063,"Not Found!")</f>
        <v>C</v>
      </c>
      <c r="G95" s="273" t="s">
        <v>147</v>
      </c>
      <c r="H95" s="273">
        <v>12</v>
      </c>
      <c r="I95" s="273">
        <v>20</v>
      </c>
      <c r="J95" s="274">
        <v>0</v>
      </c>
      <c r="Q95" s="275"/>
      <c r="R95" s="276"/>
    </row>
    <row r="96" spans="1:47" ht="18" customHeight="1" x14ac:dyDescent="0.35">
      <c r="A96" s="274">
        <f>MATCH(B96,STUDIES!$A$3:$A$502,0)</f>
        <v>9</v>
      </c>
      <c r="B96" s="272" t="s">
        <v>178</v>
      </c>
      <c r="D96" s="281" t="s">
        <v>1076</v>
      </c>
      <c r="E96" s="272" t="s">
        <v>1163</v>
      </c>
      <c r="F96" s="155" t="str">
        <f>_xlfn.XLOOKUP(B96,STUDIES!$A$3:$A$1063,STUDIES!$G$3:$G$1063,"Not Found!")</f>
        <v>C</v>
      </c>
      <c r="G96" s="273" t="s">
        <v>147</v>
      </c>
      <c r="H96" s="273">
        <v>12</v>
      </c>
      <c r="I96" s="273">
        <v>20</v>
      </c>
      <c r="J96" s="274">
        <v>0</v>
      </c>
      <c r="Q96" s="275"/>
      <c r="R96" s="276"/>
    </row>
    <row r="97" spans="1:47" ht="18" customHeight="1" x14ac:dyDescent="0.35">
      <c r="A97" s="274">
        <f>MATCH(B97,STUDIES!$A$3:$A$502,0)</f>
        <v>9</v>
      </c>
      <c r="B97" s="272" t="s">
        <v>178</v>
      </c>
      <c r="D97" s="281" t="s">
        <v>1076</v>
      </c>
      <c r="E97" s="272" t="s">
        <v>1167</v>
      </c>
      <c r="F97" s="155" t="str">
        <f>_xlfn.XLOOKUP(B97,STUDIES!$A$3:$A$1063,STUDIES!$G$3:$G$1063,"Not Found!")</f>
        <v>C</v>
      </c>
      <c r="G97" s="273" t="s">
        <v>147</v>
      </c>
      <c r="H97" s="273">
        <v>12</v>
      </c>
      <c r="I97" s="273">
        <v>20</v>
      </c>
      <c r="J97" s="274">
        <v>0</v>
      </c>
      <c r="Q97" s="275"/>
      <c r="R97" s="276"/>
    </row>
    <row r="98" spans="1:47" ht="18" customHeight="1" x14ac:dyDescent="0.35">
      <c r="A98" s="274">
        <f>MATCH(B98,STUDIES!$A$3:$A$502,0)</f>
        <v>10</v>
      </c>
      <c r="B98" s="272" t="s">
        <v>697</v>
      </c>
      <c r="D98" s="269" t="s">
        <v>1088</v>
      </c>
      <c r="E98" s="256" t="s">
        <v>154</v>
      </c>
      <c r="F98" s="155" t="str">
        <f>_xlfn.XLOOKUP(B98,STUDIES!$A$3:$A$1063,STUDIES!$G$3:$G$1063,"Not Found!")</f>
        <v>A</v>
      </c>
      <c r="G98" s="257" t="s">
        <v>147</v>
      </c>
      <c r="H98" s="257">
        <v>12</v>
      </c>
      <c r="I98" s="257">
        <v>43</v>
      </c>
      <c r="J98" s="258"/>
      <c r="K98" s="259"/>
      <c r="L98" s="259"/>
      <c r="M98" s="259"/>
      <c r="N98" s="259"/>
      <c r="O98" s="259"/>
      <c r="P98" s="259"/>
      <c r="Q98" s="271" t="s">
        <v>90</v>
      </c>
      <c r="R98" s="287">
        <v>-9.8000000000000007</v>
      </c>
      <c r="S98" s="288"/>
      <c r="T98" s="288">
        <v>8.18</v>
      </c>
      <c r="U98" s="288"/>
      <c r="V98" s="288"/>
      <c r="W98" s="288"/>
      <c r="X98" s="264"/>
      <c r="Y98" s="259"/>
      <c r="Z98" s="259"/>
      <c r="AA98" s="259"/>
      <c r="AB98" s="259"/>
      <c r="AC98" s="259"/>
      <c r="AD98" s="264"/>
      <c r="AE98" s="259"/>
      <c r="AF98" s="259"/>
      <c r="AG98" s="259"/>
      <c r="AH98" s="259"/>
      <c r="AI98" s="259"/>
      <c r="AJ98" s="265"/>
      <c r="AK98" s="266"/>
      <c r="AL98" s="266"/>
      <c r="AM98" s="266"/>
      <c r="AN98" s="266"/>
      <c r="AO98" s="267"/>
      <c r="AP98" s="266"/>
      <c r="AQ98" s="266"/>
      <c r="AR98" s="266"/>
      <c r="AS98" s="266"/>
      <c r="AT98" s="266"/>
      <c r="AU98" s="267"/>
    </row>
    <row r="99" spans="1:47" ht="18" customHeight="1" x14ac:dyDescent="0.35">
      <c r="A99" s="274">
        <f>MATCH(B99,STUDIES!$A$3:$A$502,0)</f>
        <v>10</v>
      </c>
      <c r="B99" s="270" t="s">
        <v>697</v>
      </c>
      <c r="C99" s="459"/>
      <c r="D99" s="278" t="s">
        <v>1088</v>
      </c>
      <c r="E99" s="256" t="s">
        <v>151</v>
      </c>
      <c r="F99" s="155" t="str">
        <f>_xlfn.XLOOKUP(B99,STUDIES!$A$3:$A$1063,STUDIES!$G$3:$G$1063,"Not Found!")</f>
        <v>A</v>
      </c>
      <c r="G99" s="257" t="s">
        <v>147</v>
      </c>
      <c r="H99" s="257">
        <v>12</v>
      </c>
      <c r="I99" s="257">
        <v>54</v>
      </c>
      <c r="J99" s="258"/>
      <c r="K99" s="259">
        <v>26.7</v>
      </c>
      <c r="L99" s="259"/>
      <c r="M99" s="259">
        <v>11.8</v>
      </c>
      <c r="N99" s="259"/>
      <c r="O99" s="259"/>
      <c r="P99" s="259"/>
      <c r="Q99" s="271" t="s">
        <v>92</v>
      </c>
      <c r="R99" s="264"/>
      <c r="S99" s="259"/>
      <c r="T99" s="259"/>
      <c r="U99" s="259"/>
      <c r="V99" s="259"/>
      <c r="W99" s="259"/>
      <c r="X99" s="264"/>
      <c r="Y99" s="259"/>
      <c r="Z99" s="259"/>
      <c r="AA99" s="259"/>
      <c r="AB99" s="259"/>
      <c r="AC99" s="259"/>
      <c r="AD99" s="264"/>
      <c r="AE99" s="259"/>
      <c r="AF99" s="259"/>
      <c r="AG99" s="259"/>
      <c r="AH99" s="259"/>
      <c r="AI99" s="259"/>
      <c r="AJ99" s="265">
        <v>-59</v>
      </c>
      <c r="AK99" s="266"/>
      <c r="AL99" s="266"/>
      <c r="AM99" s="296">
        <v>-69.3</v>
      </c>
      <c r="AN99" s="296">
        <v>-48.8</v>
      </c>
      <c r="AO99" s="297">
        <v>0.9</v>
      </c>
      <c r="AP99" s="298"/>
      <c r="AQ99" s="298"/>
      <c r="AR99" s="298"/>
      <c r="AS99" s="298"/>
      <c r="AT99" s="298"/>
      <c r="AU99" s="297"/>
    </row>
    <row r="100" spans="1:47" ht="18" customHeight="1" x14ac:dyDescent="0.35">
      <c r="A100" s="274">
        <f>MATCH(B100,STUDIES!$A$3:$A$502,0)</f>
        <v>10</v>
      </c>
      <c r="B100" s="270" t="s">
        <v>697</v>
      </c>
      <c r="C100" s="459"/>
      <c r="D100" s="269" t="s">
        <v>1088</v>
      </c>
      <c r="E100" s="256" t="s">
        <v>291</v>
      </c>
      <c r="F100" s="155" t="str">
        <f>_xlfn.XLOOKUP(B100,STUDIES!$A$3:$A$1063,STUDIES!$G$3:$G$1063,"Not Found!")</f>
        <v>A</v>
      </c>
      <c r="G100" s="257" t="s">
        <v>147</v>
      </c>
      <c r="H100" s="257">
        <v>12</v>
      </c>
      <c r="I100" s="299">
        <v>43</v>
      </c>
      <c r="J100" s="300"/>
      <c r="K100" s="263"/>
      <c r="L100" s="263"/>
      <c r="M100" s="263"/>
      <c r="N100" s="263"/>
      <c r="O100" s="263"/>
      <c r="P100" s="263"/>
      <c r="Q100" s="271" t="s">
        <v>90</v>
      </c>
      <c r="R100" s="262">
        <v>-4.21</v>
      </c>
      <c r="S100" s="259"/>
      <c r="T100" s="263">
        <v>3.5289999999999999</v>
      </c>
      <c r="U100" s="263"/>
      <c r="V100" s="263"/>
      <c r="W100" s="263"/>
      <c r="X100" s="264"/>
      <c r="Y100" s="259"/>
      <c r="Z100" s="259"/>
      <c r="AA100" s="259"/>
      <c r="AB100" s="259"/>
      <c r="AC100" s="259"/>
      <c r="AD100" s="264"/>
      <c r="AE100" s="259"/>
      <c r="AF100" s="259"/>
      <c r="AG100" s="259"/>
      <c r="AH100" s="259"/>
      <c r="AI100" s="259"/>
      <c r="AJ100" s="262"/>
      <c r="AK100" s="266"/>
      <c r="AL100" s="263"/>
      <c r="AM100" s="263"/>
      <c r="AN100" s="263"/>
      <c r="AO100" s="267"/>
      <c r="AP100" s="266"/>
      <c r="AQ100" s="266"/>
      <c r="AR100" s="266"/>
      <c r="AS100" s="266"/>
      <c r="AT100" s="266"/>
      <c r="AU100" s="267"/>
    </row>
    <row r="101" spans="1:47" ht="18" customHeight="1" x14ac:dyDescent="0.35">
      <c r="A101" s="274">
        <f>MATCH(B101,STUDIES!$A$3:$A$502,0)</f>
        <v>10</v>
      </c>
      <c r="B101" s="272" t="s">
        <v>697</v>
      </c>
      <c r="D101" s="269" t="s">
        <v>1088</v>
      </c>
      <c r="E101" s="256" t="s">
        <v>153</v>
      </c>
      <c r="F101" s="155" t="str">
        <f>_xlfn.XLOOKUP(B101,STUDIES!$A$3:$A$1063,STUDIES!$G$3:$G$1063,"Not Found!")</f>
        <v>A</v>
      </c>
      <c r="G101" s="257" t="s">
        <v>147</v>
      </c>
      <c r="H101" s="257">
        <v>12</v>
      </c>
      <c r="I101" s="257">
        <v>41</v>
      </c>
      <c r="J101" s="258"/>
      <c r="K101" s="259"/>
      <c r="L101" s="259"/>
      <c r="M101" s="259"/>
      <c r="N101" s="259"/>
      <c r="O101" s="259"/>
      <c r="P101" s="259"/>
      <c r="Q101" s="271" t="s">
        <v>90</v>
      </c>
      <c r="R101" s="264">
        <v>-11.4</v>
      </c>
      <c r="S101" s="259"/>
      <c r="T101" s="259">
        <v>8.08</v>
      </c>
      <c r="U101" s="259"/>
      <c r="V101" s="259"/>
      <c r="W101" s="259"/>
      <c r="X101" s="264"/>
      <c r="Y101" s="259"/>
      <c r="Z101" s="259"/>
      <c r="AA101" s="259"/>
      <c r="AB101" s="259"/>
      <c r="AC101" s="259"/>
      <c r="AD101" s="264"/>
      <c r="AE101" s="259"/>
      <c r="AF101" s="259"/>
      <c r="AG101" s="259"/>
      <c r="AH101" s="259"/>
      <c r="AI101" s="259"/>
      <c r="AJ101" s="265"/>
      <c r="AK101" s="266"/>
      <c r="AL101" s="266"/>
      <c r="AM101" s="266"/>
      <c r="AN101" s="266"/>
      <c r="AO101" s="267"/>
      <c r="AP101" s="266"/>
      <c r="AQ101" s="266"/>
      <c r="AR101" s="266"/>
      <c r="AS101" s="266"/>
      <c r="AT101" s="266"/>
      <c r="AU101" s="267"/>
    </row>
    <row r="102" spans="1:47" ht="18" customHeight="1" x14ac:dyDescent="0.35">
      <c r="A102" s="274">
        <f>MATCH(B102,STUDIES!$A$3:$A$502,0)</f>
        <v>10</v>
      </c>
      <c r="B102" s="272" t="s">
        <v>697</v>
      </c>
      <c r="D102" s="281" t="s">
        <v>1088</v>
      </c>
      <c r="E102" s="272" t="s">
        <v>1163</v>
      </c>
      <c r="F102" s="155" t="str">
        <f>_xlfn.XLOOKUP(B102,STUDIES!$A$3:$A$1063,STUDIES!$G$3:$G$1063,"Not Found!")</f>
        <v>A</v>
      </c>
      <c r="G102" s="273" t="s">
        <v>147</v>
      </c>
      <c r="H102" s="273">
        <v>12</v>
      </c>
      <c r="I102" s="273">
        <v>56</v>
      </c>
      <c r="J102" s="274">
        <v>3</v>
      </c>
      <c r="Q102" s="275"/>
      <c r="R102" s="276"/>
    </row>
    <row r="103" spans="1:47" ht="18" customHeight="1" x14ac:dyDescent="0.35">
      <c r="A103" s="274">
        <f>MATCH(B103,STUDIES!$A$3:$A$502,0)</f>
        <v>10</v>
      </c>
      <c r="B103" s="272" t="s">
        <v>697</v>
      </c>
      <c r="D103" s="281" t="s">
        <v>1088</v>
      </c>
      <c r="E103" s="272" t="s">
        <v>1167</v>
      </c>
      <c r="F103" s="155" t="str">
        <f>_xlfn.XLOOKUP(B103,STUDIES!$A$3:$A$1063,STUDIES!$G$3:$G$1063,"Not Found!")</f>
        <v>A</v>
      </c>
      <c r="G103" s="273" t="s">
        <v>147</v>
      </c>
      <c r="H103" s="273">
        <v>12</v>
      </c>
      <c r="I103" s="273">
        <v>56</v>
      </c>
      <c r="J103" s="274">
        <v>12</v>
      </c>
      <c r="Q103" s="275"/>
      <c r="R103" s="276"/>
    </row>
    <row r="104" spans="1:47" ht="18" customHeight="1" x14ac:dyDescent="0.35">
      <c r="A104" s="274">
        <f>MATCH(B104,STUDIES!$A$3:$A$502,0)</f>
        <v>10</v>
      </c>
      <c r="B104" s="272" t="s">
        <v>697</v>
      </c>
      <c r="D104" s="269" t="s">
        <v>1087</v>
      </c>
      <c r="E104" s="256" t="s">
        <v>154</v>
      </c>
      <c r="F104" s="155" t="str">
        <f>_xlfn.XLOOKUP(B104,STUDIES!$A$3:$A$1063,STUDIES!$G$3:$G$1063,"Not Found!")</f>
        <v>A</v>
      </c>
      <c r="G104" s="257" t="s">
        <v>147</v>
      </c>
      <c r="H104" s="257">
        <v>12</v>
      </c>
      <c r="I104" s="257">
        <v>31</v>
      </c>
      <c r="J104" s="258"/>
      <c r="K104" s="259"/>
      <c r="L104" s="259"/>
      <c r="M104" s="259"/>
      <c r="N104" s="259"/>
      <c r="O104" s="259"/>
      <c r="P104" s="259"/>
      <c r="Q104" s="271" t="s">
        <v>90</v>
      </c>
      <c r="R104" s="287">
        <v>-4.5</v>
      </c>
      <c r="S104" s="288"/>
      <c r="T104" s="288">
        <v>8.9</v>
      </c>
      <c r="U104" s="288"/>
      <c r="V104" s="288"/>
      <c r="W104" s="288"/>
      <c r="X104" s="264"/>
      <c r="Y104" s="259"/>
      <c r="Z104" s="259"/>
      <c r="AA104" s="259"/>
      <c r="AB104" s="259"/>
      <c r="AC104" s="259"/>
      <c r="AD104" s="264"/>
      <c r="AE104" s="259"/>
      <c r="AF104" s="259"/>
      <c r="AG104" s="259"/>
      <c r="AH104" s="259"/>
      <c r="AI104" s="259"/>
      <c r="AJ104" s="265"/>
      <c r="AK104" s="266"/>
      <c r="AL104" s="266"/>
      <c r="AM104" s="266"/>
      <c r="AN104" s="266"/>
      <c r="AO104" s="267"/>
      <c r="AP104" s="266"/>
      <c r="AQ104" s="266"/>
      <c r="AR104" s="266"/>
      <c r="AS104" s="266"/>
      <c r="AT104" s="266"/>
      <c r="AU104" s="267"/>
    </row>
    <row r="105" spans="1:47" ht="18" customHeight="1" x14ac:dyDescent="0.35">
      <c r="A105" s="274">
        <f>MATCH(B105,STUDIES!$A$3:$A$502,0)</f>
        <v>10</v>
      </c>
      <c r="B105" s="270" t="s">
        <v>697</v>
      </c>
      <c r="C105" s="459"/>
      <c r="D105" s="278" t="s">
        <v>1087</v>
      </c>
      <c r="E105" s="256" t="s">
        <v>151</v>
      </c>
      <c r="F105" s="155" t="str">
        <f>_xlfn.XLOOKUP(B105,STUDIES!$A$3:$A$1063,STUDIES!$G$3:$G$1063,"Not Found!")</f>
        <v>A</v>
      </c>
      <c r="G105" s="257" t="s">
        <v>147</v>
      </c>
      <c r="H105" s="257">
        <v>12</v>
      </c>
      <c r="I105" s="257">
        <v>46</v>
      </c>
      <c r="J105" s="258"/>
      <c r="K105" s="259">
        <v>28.1</v>
      </c>
      <c r="L105" s="259"/>
      <c r="M105" s="259">
        <v>13.1</v>
      </c>
      <c r="N105" s="259"/>
      <c r="O105" s="259"/>
      <c r="P105" s="259"/>
      <c r="Q105" s="271" t="s">
        <v>92</v>
      </c>
      <c r="R105" s="264"/>
      <c r="S105" s="259"/>
      <c r="T105" s="259"/>
      <c r="U105" s="259"/>
      <c r="V105" s="259"/>
      <c r="W105" s="259"/>
      <c r="X105" s="264"/>
      <c r="Y105" s="259"/>
      <c r="Z105" s="259"/>
      <c r="AA105" s="259"/>
      <c r="AB105" s="259"/>
      <c r="AC105" s="259"/>
      <c r="AD105" s="264"/>
      <c r="AE105" s="259"/>
      <c r="AF105" s="259"/>
      <c r="AG105" s="259"/>
      <c r="AH105" s="259"/>
      <c r="AI105" s="259"/>
      <c r="AJ105" s="265">
        <v>-31.1</v>
      </c>
      <c r="AK105" s="266"/>
      <c r="AL105" s="266"/>
      <c r="AM105" s="296">
        <v>-42.8</v>
      </c>
      <c r="AN105" s="296">
        <v>-19.399999999999999</v>
      </c>
      <c r="AO105" s="297">
        <v>0.9</v>
      </c>
      <c r="AP105" s="298"/>
      <c r="AQ105" s="298"/>
      <c r="AR105" s="298"/>
      <c r="AS105" s="298"/>
      <c r="AT105" s="298"/>
      <c r="AU105" s="297"/>
    </row>
    <row r="106" spans="1:47" ht="18" customHeight="1" x14ac:dyDescent="0.35">
      <c r="A106" s="274">
        <f>MATCH(B106,STUDIES!$A$3:$A$502,0)</f>
        <v>10</v>
      </c>
      <c r="B106" s="270" t="s">
        <v>697</v>
      </c>
      <c r="C106" s="459"/>
      <c r="D106" s="269" t="s">
        <v>1087</v>
      </c>
      <c r="E106" s="256" t="s">
        <v>291</v>
      </c>
      <c r="F106" s="155" t="str">
        <f>_xlfn.XLOOKUP(B106,STUDIES!$A$3:$A$1063,STUDIES!$G$3:$G$1063,"Not Found!")</f>
        <v>A</v>
      </c>
      <c r="G106" s="257" t="s">
        <v>147</v>
      </c>
      <c r="H106" s="257">
        <v>12</v>
      </c>
      <c r="I106" s="257">
        <v>30</v>
      </c>
      <c r="J106" s="258"/>
      <c r="K106" s="259"/>
      <c r="L106" s="259"/>
      <c r="M106" s="259"/>
      <c r="N106" s="259"/>
      <c r="O106" s="259"/>
      <c r="P106" s="259"/>
      <c r="Q106" s="271" t="s">
        <v>90</v>
      </c>
      <c r="R106" s="262">
        <v>-2.13</v>
      </c>
      <c r="S106" s="259"/>
      <c r="T106" s="263">
        <v>3.7109999999999999</v>
      </c>
      <c r="U106" s="263"/>
      <c r="V106" s="263"/>
      <c r="W106" s="263"/>
      <c r="X106" s="264"/>
      <c r="Y106" s="259"/>
      <c r="Z106" s="259"/>
      <c r="AA106" s="259"/>
      <c r="AB106" s="259"/>
      <c r="AC106" s="259"/>
      <c r="AD106" s="264"/>
      <c r="AE106" s="259"/>
      <c r="AF106" s="259"/>
      <c r="AG106" s="259"/>
      <c r="AH106" s="259"/>
      <c r="AI106" s="259"/>
      <c r="AJ106" s="262"/>
      <c r="AK106" s="266"/>
      <c r="AL106" s="263"/>
      <c r="AM106" s="263"/>
      <c r="AN106" s="263"/>
      <c r="AO106" s="267"/>
      <c r="AP106" s="266"/>
      <c r="AQ106" s="266"/>
      <c r="AR106" s="266"/>
      <c r="AS106" s="266"/>
      <c r="AT106" s="266"/>
      <c r="AU106" s="267"/>
    </row>
    <row r="107" spans="1:47" ht="18" customHeight="1" x14ac:dyDescent="0.35">
      <c r="A107" s="274">
        <f>MATCH(B107,STUDIES!$A$3:$A$502,0)</f>
        <v>10</v>
      </c>
      <c r="B107" s="272" t="s">
        <v>697</v>
      </c>
      <c r="D107" s="269" t="s">
        <v>1087</v>
      </c>
      <c r="E107" s="256" t="s">
        <v>153</v>
      </c>
      <c r="F107" s="155" t="str">
        <f>_xlfn.XLOOKUP(B107,STUDIES!$A$3:$A$1063,STUDIES!$G$3:$G$1063,"Not Found!")</f>
        <v>A</v>
      </c>
      <c r="G107" s="257" t="s">
        <v>147</v>
      </c>
      <c r="H107" s="257">
        <v>12</v>
      </c>
      <c r="I107" s="257">
        <v>31</v>
      </c>
      <c r="J107" s="258"/>
      <c r="K107" s="259"/>
      <c r="L107" s="259"/>
      <c r="M107" s="259"/>
      <c r="N107" s="259"/>
      <c r="O107" s="259"/>
      <c r="P107" s="259"/>
      <c r="Q107" s="271" t="s">
        <v>90</v>
      </c>
      <c r="R107" s="264">
        <v>-4.7</v>
      </c>
      <c r="S107" s="259"/>
      <c r="T107" s="259">
        <v>8.83</v>
      </c>
      <c r="U107" s="259"/>
      <c r="V107" s="259"/>
      <c r="W107" s="259"/>
      <c r="X107" s="264"/>
      <c r="Y107" s="259"/>
      <c r="Z107" s="259"/>
      <c r="AA107" s="259"/>
      <c r="AB107" s="259"/>
      <c r="AC107" s="259"/>
      <c r="AD107" s="264"/>
      <c r="AE107" s="259"/>
      <c r="AF107" s="259"/>
      <c r="AG107" s="259"/>
      <c r="AH107" s="259"/>
      <c r="AI107" s="259"/>
      <c r="AJ107" s="265"/>
      <c r="AK107" s="266"/>
      <c r="AL107" s="266"/>
      <c r="AM107" s="266"/>
      <c r="AN107" s="266"/>
      <c r="AO107" s="267"/>
      <c r="AP107" s="266"/>
      <c r="AQ107" s="266"/>
      <c r="AR107" s="266"/>
      <c r="AS107" s="266"/>
      <c r="AT107" s="266"/>
      <c r="AU107" s="267"/>
    </row>
    <row r="108" spans="1:47" ht="18" customHeight="1" x14ac:dyDescent="0.35">
      <c r="A108" s="274">
        <f>MATCH(B108,STUDIES!$A$3:$A$502,0)</f>
        <v>10</v>
      </c>
      <c r="B108" s="272" t="s">
        <v>697</v>
      </c>
      <c r="D108" s="281" t="s">
        <v>1087</v>
      </c>
      <c r="E108" s="272" t="s">
        <v>1163</v>
      </c>
      <c r="F108" s="155" t="str">
        <f>_xlfn.XLOOKUP(B108,STUDIES!$A$3:$A$1063,STUDIES!$G$3:$G$1063,"Not Found!")</f>
        <v>A</v>
      </c>
      <c r="G108" s="273" t="s">
        <v>147</v>
      </c>
      <c r="H108" s="273">
        <v>12</v>
      </c>
      <c r="I108" s="273">
        <v>49</v>
      </c>
      <c r="J108" s="274">
        <v>2</v>
      </c>
      <c r="Q108" s="275"/>
      <c r="R108" s="276"/>
    </row>
    <row r="109" spans="1:47" ht="18" customHeight="1" x14ac:dyDescent="0.35">
      <c r="A109" s="274">
        <f>MATCH(B109,STUDIES!$A$3:$A$502,0)</f>
        <v>10</v>
      </c>
      <c r="B109" s="272" t="s">
        <v>697</v>
      </c>
      <c r="D109" s="281" t="s">
        <v>1087</v>
      </c>
      <c r="E109" s="272" t="s">
        <v>1167</v>
      </c>
      <c r="F109" s="155" t="str">
        <f>_xlfn.XLOOKUP(B109,STUDIES!$A$3:$A$1063,STUDIES!$G$3:$G$1063,"Not Found!")</f>
        <v>A</v>
      </c>
      <c r="G109" s="273" t="s">
        <v>147</v>
      </c>
      <c r="H109" s="273">
        <v>12</v>
      </c>
      <c r="I109" s="273">
        <v>49</v>
      </c>
      <c r="J109" s="274">
        <v>8</v>
      </c>
      <c r="Q109" s="275"/>
      <c r="R109" s="276"/>
    </row>
    <row r="110" spans="1:47" ht="18" customHeight="1" x14ac:dyDescent="0.35">
      <c r="A110" s="274">
        <f>MATCH(B110,STUDIES!$A$3:$A$502,0)</f>
        <v>10</v>
      </c>
      <c r="B110" s="272" t="s">
        <v>697</v>
      </c>
      <c r="D110" s="269" t="s">
        <v>1089</v>
      </c>
      <c r="E110" s="256" t="s">
        <v>154</v>
      </c>
      <c r="F110" s="155" t="str">
        <f>_xlfn.XLOOKUP(B110,STUDIES!$A$3:$A$1063,STUDIES!$G$3:$G$1063,"Not Found!")</f>
        <v>A</v>
      </c>
      <c r="G110" s="257" t="s">
        <v>147</v>
      </c>
      <c r="H110" s="257">
        <v>12</v>
      </c>
      <c r="I110" s="257">
        <v>46</v>
      </c>
      <c r="J110" s="258"/>
      <c r="K110" s="259"/>
      <c r="L110" s="259"/>
      <c r="M110" s="259"/>
      <c r="N110" s="259"/>
      <c r="O110" s="259"/>
      <c r="P110" s="259"/>
      <c r="Q110" s="271" t="s">
        <v>90</v>
      </c>
      <c r="R110" s="287">
        <v>-9.5</v>
      </c>
      <c r="S110" s="288"/>
      <c r="T110" s="288">
        <v>7.28</v>
      </c>
      <c r="U110" s="288"/>
      <c r="V110" s="288"/>
      <c r="W110" s="288"/>
      <c r="X110" s="264"/>
      <c r="Y110" s="259"/>
      <c r="Z110" s="259"/>
      <c r="AA110" s="259"/>
      <c r="AB110" s="259"/>
      <c r="AC110" s="259"/>
      <c r="AD110" s="264"/>
      <c r="AE110" s="259"/>
      <c r="AF110" s="259"/>
      <c r="AG110" s="259"/>
      <c r="AH110" s="259"/>
      <c r="AI110" s="259"/>
      <c r="AJ110" s="265"/>
      <c r="AK110" s="266"/>
      <c r="AL110" s="266"/>
      <c r="AM110" s="266"/>
      <c r="AN110" s="266"/>
      <c r="AO110" s="267"/>
      <c r="AP110" s="266"/>
      <c r="AQ110" s="266"/>
      <c r="AR110" s="266"/>
      <c r="AS110" s="266"/>
      <c r="AT110" s="266"/>
      <c r="AU110" s="267"/>
    </row>
    <row r="111" spans="1:47" ht="18" customHeight="1" x14ac:dyDescent="0.35">
      <c r="A111" s="274">
        <f>MATCH(B111,STUDIES!$A$3:$A$502,0)</f>
        <v>10</v>
      </c>
      <c r="B111" s="270" t="s">
        <v>697</v>
      </c>
      <c r="C111" s="459"/>
      <c r="D111" s="278" t="s">
        <v>1089</v>
      </c>
      <c r="E111" s="256" t="s">
        <v>151</v>
      </c>
      <c r="F111" s="155" t="str">
        <f>_xlfn.XLOOKUP(B111,STUDIES!$A$3:$A$1063,STUDIES!$G$3:$G$1063,"Not Found!")</f>
        <v>A</v>
      </c>
      <c r="G111" s="257" t="s">
        <v>147</v>
      </c>
      <c r="H111" s="257">
        <v>12</v>
      </c>
      <c r="I111" s="257">
        <v>48</v>
      </c>
      <c r="J111" s="258"/>
      <c r="K111" s="259">
        <v>24.6</v>
      </c>
      <c r="L111" s="259"/>
      <c r="M111" s="259">
        <v>13.5</v>
      </c>
      <c r="N111" s="259"/>
      <c r="O111" s="259"/>
      <c r="P111" s="259"/>
      <c r="Q111" s="271" t="s">
        <v>92</v>
      </c>
      <c r="R111" s="264"/>
      <c r="S111" s="259"/>
      <c r="T111" s="259"/>
      <c r="U111" s="259"/>
      <c r="V111" s="259"/>
      <c r="W111" s="259"/>
      <c r="X111" s="264"/>
      <c r="Y111" s="259"/>
      <c r="Z111" s="259"/>
      <c r="AA111" s="259"/>
      <c r="AB111" s="259"/>
      <c r="AC111" s="259"/>
      <c r="AD111" s="264"/>
      <c r="AE111" s="259"/>
      <c r="AF111" s="259"/>
      <c r="AG111" s="259"/>
      <c r="AH111" s="259"/>
      <c r="AI111" s="259"/>
      <c r="AJ111" s="265">
        <v>-82.6</v>
      </c>
      <c r="AK111" s="266"/>
      <c r="AL111" s="266"/>
      <c r="AM111" s="296">
        <v>-92.8</v>
      </c>
      <c r="AN111" s="296">
        <v>-72.400000000000006</v>
      </c>
      <c r="AO111" s="297">
        <v>0.9</v>
      </c>
      <c r="AP111" s="298"/>
      <c r="AQ111" s="298"/>
      <c r="AR111" s="298"/>
      <c r="AS111" s="298"/>
      <c r="AT111" s="298"/>
      <c r="AU111" s="297"/>
    </row>
    <row r="112" spans="1:47" ht="18" customHeight="1" x14ac:dyDescent="0.35">
      <c r="A112" s="274">
        <f>MATCH(B112,STUDIES!$A$3:$A$502,0)</f>
        <v>10</v>
      </c>
      <c r="B112" s="270" t="s">
        <v>697</v>
      </c>
      <c r="C112" s="459"/>
      <c r="D112" s="269" t="s">
        <v>1089</v>
      </c>
      <c r="E112" s="256" t="s">
        <v>291</v>
      </c>
      <c r="F112" s="155" t="str">
        <f>_xlfn.XLOOKUP(B112,STUDIES!$A$3:$A$1063,STUDIES!$G$3:$G$1063,"Not Found!")</f>
        <v>A</v>
      </c>
      <c r="G112" s="257" t="s">
        <v>147</v>
      </c>
      <c r="H112" s="257">
        <v>12</v>
      </c>
      <c r="I112" s="257">
        <v>44</v>
      </c>
      <c r="J112" s="258"/>
      <c r="K112" s="259"/>
      <c r="L112" s="259"/>
      <c r="M112" s="259"/>
      <c r="N112" s="259"/>
      <c r="O112" s="259"/>
      <c r="P112" s="259"/>
      <c r="Q112" s="271" t="s">
        <v>90</v>
      </c>
      <c r="R112" s="262">
        <v>-4.84</v>
      </c>
      <c r="S112" s="259"/>
      <c r="T112" s="263">
        <v>3.7850000000000001</v>
      </c>
      <c r="U112" s="263"/>
      <c r="V112" s="263"/>
      <c r="W112" s="263"/>
      <c r="X112" s="264"/>
      <c r="Y112" s="259"/>
      <c r="Z112" s="259"/>
      <c r="AA112" s="259"/>
      <c r="AB112" s="259"/>
      <c r="AC112" s="259"/>
      <c r="AD112" s="264"/>
      <c r="AE112" s="259"/>
      <c r="AF112" s="259"/>
      <c r="AG112" s="259"/>
      <c r="AH112" s="259"/>
      <c r="AI112" s="259"/>
      <c r="AJ112" s="262"/>
      <c r="AK112" s="266"/>
      <c r="AL112" s="263"/>
      <c r="AM112" s="263"/>
      <c r="AN112" s="263"/>
      <c r="AO112" s="267"/>
      <c r="AP112" s="266"/>
      <c r="AQ112" s="266"/>
      <c r="AR112" s="266"/>
      <c r="AS112" s="266"/>
      <c r="AT112" s="266"/>
      <c r="AU112" s="267"/>
    </row>
    <row r="113" spans="1:47" ht="18" customHeight="1" x14ac:dyDescent="0.35">
      <c r="A113" s="274">
        <f>MATCH(B113,STUDIES!$A$3:$A$502,0)</f>
        <v>10</v>
      </c>
      <c r="B113" s="272" t="s">
        <v>697</v>
      </c>
      <c r="D113" s="269" t="s">
        <v>1089</v>
      </c>
      <c r="E113" s="256" t="s">
        <v>153</v>
      </c>
      <c r="F113" s="155" t="str">
        <f>_xlfn.XLOOKUP(B113,STUDIES!$A$3:$A$1063,STUDIES!$G$3:$G$1063,"Not Found!")</f>
        <v>A</v>
      </c>
      <c r="G113" s="257" t="s">
        <v>147</v>
      </c>
      <c r="H113" s="257">
        <v>12</v>
      </c>
      <c r="I113" s="257">
        <v>45</v>
      </c>
      <c r="J113" s="258"/>
      <c r="K113" s="259"/>
      <c r="L113" s="259"/>
      <c r="M113" s="259"/>
      <c r="N113" s="259"/>
      <c r="O113" s="259"/>
      <c r="P113" s="259"/>
      <c r="Q113" s="271" t="s">
        <v>90</v>
      </c>
      <c r="R113" s="264">
        <v>-15.1</v>
      </c>
      <c r="S113" s="259"/>
      <c r="T113" s="259">
        <v>6.99</v>
      </c>
      <c r="U113" s="259"/>
      <c r="V113" s="259"/>
      <c r="W113" s="259"/>
      <c r="X113" s="264"/>
      <c r="Y113" s="259"/>
      <c r="Z113" s="259"/>
      <c r="AA113" s="259"/>
      <c r="AB113" s="259"/>
      <c r="AC113" s="259"/>
      <c r="AD113" s="264"/>
      <c r="AE113" s="259"/>
      <c r="AF113" s="259"/>
      <c r="AG113" s="259"/>
      <c r="AH113" s="259"/>
      <c r="AI113" s="259"/>
      <c r="AJ113" s="265"/>
      <c r="AK113" s="266"/>
      <c r="AL113" s="266"/>
      <c r="AM113" s="266"/>
      <c r="AN113" s="266"/>
      <c r="AO113" s="267"/>
      <c r="AP113" s="266"/>
      <c r="AQ113" s="266"/>
      <c r="AR113" s="266"/>
      <c r="AS113" s="266"/>
      <c r="AT113" s="266"/>
      <c r="AU113" s="267"/>
    </row>
    <row r="114" spans="1:47" ht="18" customHeight="1" x14ac:dyDescent="0.35">
      <c r="A114" s="274">
        <f>MATCH(B114,STUDIES!$A$3:$A$502,0)</f>
        <v>10</v>
      </c>
      <c r="B114" s="272" t="s">
        <v>697</v>
      </c>
      <c r="D114" s="281" t="s">
        <v>1089</v>
      </c>
      <c r="E114" s="272" t="s">
        <v>1163</v>
      </c>
      <c r="F114" s="155" t="str">
        <f>_xlfn.XLOOKUP(B114,STUDIES!$A$3:$A$1063,STUDIES!$G$3:$G$1063,"Not Found!")</f>
        <v>A</v>
      </c>
      <c r="G114" s="273" t="s">
        <v>147</v>
      </c>
      <c r="H114" s="273">
        <v>12</v>
      </c>
      <c r="I114" s="273">
        <v>55</v>
      </c>
      <c r="J114" s="274">
        <v>2</v>
      </c>
      <c r="Q114" s="275"/>
      <c r="R114" s="276"/>
    </row>
    <row r="115" spans="1:47" ht="18" customHeight="1" x14ac:dyDescent="0.35">
      <c r="A115" s="274">
        <f>MATCH(B115,STUDIES!$A$3:$A$502,0)</f>
        <v>10</v>
      </c>
      <c r="B115" s="272" t="s">
        <v>697</v>
      </c>
      <c r="D115" s="281" t="s">
        <v>1089</v>
      </c>
      <c r="E115" s="272" t="s">
        <v>1167</v>
      </c>
      <c r="F115" s="155" t="str">
        <f>_xlfn.XLOOKUP(B115,STUDIES!$A$3:$A$1063,STUDIES!$G$3:$G$1063,"Not Found!")</f>
        <v>A</v>
      </c>
      <c r="G115" s="273" t="s">
        <v>147</v>
      </c>
      <c r="H115" s="273">
        <v>12</v>
      </c>
      <c r="I115" s="273">
        <v>55</v>
      </c>
      <c r="J115" s="274">
        <v>8</v>
      </c>
      <c r="Q115" s="275"/>
      <c r="R115" s="276"/>
    </row>
    <row r="116" spans="1:47" ht="18" customHeight="1" x14ac:dyDescent="0.35">
      <c r="A116" s="274">
        <f>MATCH(B116,STUDIES!$A$3:$A$502,0)</f>
        <v>10</v>
      </c>
      <c r="B116" s="272" t="s">
        <v>697</v>
      </c>
      <c r="D116" s="269" t="s">
        <v>1090</v>
      </c>
      <c r="E116" s="256" t="s">
        <v>154</v>
      </c>
      <c r="F116" s="155" t="str">
        <f>_xlfn.XLOOKUP(B116,STUDIES!$A$3:$A$1063,STUDIES!$G$3:$G$1063,"Not Found!")</f>
        <v>A</v>
      </c>
      <c r="G116" s="257" t="s">
        <v>147</v>
      </c>
      <c r="H116" s="257">
        <v>12</v>
      </c>
      <c r="I116" s="257">
        <v>33</v>
      </c>
      <c r="J116" s="258"/>
      <c r="K116" s="259"/>
      <c r="L116" s="259"/>
      <c r="M116" s="259"/>
      <c r="N116" s="259"/>
      <c r="O116" s="259"/>
      <c r="P116" s="259"/>
      <c r="Q116" s="271" t="s">
        <v>90</v>
      </c>
      <c r="R116" s="287">
        <v>-5.2</v>
      </c>
      <c r="S116" s="288"/>
      <c r="T116" s="288">
        <v>7.3</v>
      </c>
      <c r="U116" s="288"/>
      <c r="V116" s="288"/>
      <c r="W116" s="288"/>
      <c r="X116" s="264"/>
      <c r="Y116" s="259"/>
      <c r="Z116" s="259"/>
      <c r="AA116" s="259"/>
      <c r="AB116" s="259"/>
      <c r="AC116" s="259"/>
      <c r="AD116" s="264"/>
      <c r="AE116" s="259"/>
      <c r="AF116" s="259"/>
      <c r="AG116" s="259"/>
      <c r="AH116" s="259"/>
      <c r="AI116" s="259"/>
      <c r="AJ116" s="265"/>
      <c r="AK116" s="266"/>
      <c r="AL116" s="266"/>
      <c r="AM116" s="266"/>
      <c r="AN116" s="266"/>
      <c r="AO116" s="267"/>
      <c r="AP116" s="266"/>
      <c r="AQ116" s="266"/>
      <c r="AR116" s="266"/>
      <c r="AS116" s="266"/>
      <c r="AT116" s="266"/>
      <c r="AU116" s="267"/>
    </row>
    <row r="117" spans="1:47" ht="18" customHeight="1" x14ac:dyDescent="0.35">
      <c r="A117" s="274">
        <f>MATCH(B117,STUDIES!$A$3:$A$502,0)</f>
        <v>10</v>
      </c>
      <c r="B117" s="270" t="s">
        <v>697</v>
      </c>
      <c r="C117" s="459"/>
      <c r="D117" s="278" t="s">
        <v>1090</v>
      </c>
      <c r="E117" s="256" t="s">
        <v>151</v>
      </c>
      <c r="F117" s="155" t="str">
        <f>_xlfn.XLOOKUP(B117,STUDIES!$A$3:$A$1063,STUDIES!$G$3:$G$1063,"Not Found!")</f>
        <v>A</v>
      </c>
      <c r="G117" s="257" t="s">
        <v>147</v>
      </c>
      <c r="H117" s="257">
        <v>12</v>
      </c>
      <c r="I117" s="257">
        <v>45</v>
      </c>
      <c r="J117" s="258"/>
      <c r="K117" s="259">
        <v>22.1</v>
      </c>
      <c r="L117" s="259"/>
      <c r="M117" s="259">
        <v>10.7</v>
      </c>
      <c r="N117" s="259"/>
      <c r="O117" s="259"/>
      <c r="P117" s="259"/>
      <c r="Q117" s="271" t="s">
        <v>92</v>
      </c>
      <c r="R117" s="264"/>
      <c r="S117" s="259"/>
      <c r="T117" s="259"/>
      <c r="U117" s="259"/>
      <c r="V117" s="259"/>
      <c r="W117" s="259"/>
      <c r="X117" s="264"/>
      <c r="Y117" s="259"/>
      <c r="Z117" s="259"/>
      <c r="AA117" s="259"/>
      <c r="AB117" s="259"/>
      <c r="AC117" s="259"/>
      <c r="AD117" s="264"/>
      <c r="AE117" s="259"/>
      <c r="AF117" s="259"/>
      <c r="AG117" s="259"/>
      <c r="AH117" s="259"/>
      <c r="AI117" s="259"/>
      <c r="AJ117" s="265">
        <v>-40.700000000000003</v>
      </c>
      <c r="AK117" s="266"/>
      <c r="AL117" s="266"/>
      <c r="AM117" s="296">
        <v>-52</v>
      </c>
      <c r="AN117" s="296">
        <v>-29.5</v>
      </c>
      <c r="AO117" s="297">
        <v>0.9</v>
      </c>
      <c r="AP117" s="298"/>
      <c r="AQ117" s="298"/>
      <c r="AR117" s="298"/>
      <c r="AS117" s="298"/>
      <c r="AT117" s="298"/>
      <c r="AU117" s="297"/>
    </row>
    <row r="118" spans="1:47" ht="18" customHeight="1" x14ac:dyDescent="0.35">
      <c r="A118" s="274">
        <f>MATCH(B118,STUDIES!$A$3:$A$502,0)</f>
        <v>10</v>
      </c>
      <c r="B118" s="270" t="s">
        <v>697</v>
      </c>
      <c r="C118" s="459"/>
      <c r="D118" s="269" t="s">
        <v>1090</v>
      </c>
      <c r="E118" s="256" t="s">
        <v>291</v>
      </c>
      <c r="F118" s="155" t="str">
        <f>_xlfn.XLOOKUP(B118,STUDIES!$A$3:$A$1063,STUDIES!$G$3:$G$1063,"Not Found!")</f>
        <v>A</v>
      </c>
      <c r="G118" s="257" t="s">
        <v>147</v>
      </c>
      <c r="H118" s="257">
        <v>12</v>
      </c>
      <c r="I118" s="257">
        <v>31</v>
      </c>
      <c r="J118" s="258"/>
      <c r="K118" s="259"/>
      <c r="L118" s="259"/>
      <c r="M118" s="259"/>
      <c r="N118" s="259"/>
      <c r="O118" s="259"/>
      <c r="P118" s="259"/>
      <c r="Q118" s="279" t="s">
        <v>90</v>
      </c>
      <c r="R118" s="280">
        <v>-2.68</v>
      </c>
      <c r="S118" s="259"/>
      <c r="T118" s="263">
        <v>2.7490000000000001</v>
      </c>
      <c r="U118" s="263"/>
      <c r="V118" s="263"/>
      <c r="W118" s="263"/>
      <c r="X118" s="264"/>
      <c r="Y118" s="259"/>
      <c r="Z118" s="259"/>
      <c r="AA118" s="259"/>
      <c r="AB118" s="259"/>
      <c r="AC118" s="259"/>
      <c r="AD118" s="264"/>
      <c r="AE118" s="259"/>
      <c r="AF118" s="259"/>
      <c r="AG118" s="259"/>
      <c r="AH118" s="259"/>
      <c r="AI118" s="259"/>
      <c r="AJ118" s="262"/>
      <c r="AK118" s="266"/>
      <c r="AL118" s="263"/>
      <c r="AM118" s="263"/>
      <c r="AN118" s="263"/>
      <c r="AO118" s="267"/>
      <c r="AP118" s="266"/>
      <c r="AQ118" s="266"/>
      <c r="AR118" s="266"/>
      <c r="AS118" s="266"/>
      <c r="AT118" s="266"/>
      <c r="AU118" s="267"/>
    </row>
    <row r="119" spans="1:47" ht="18" customHeight="1" x14ac:dyDescent="0.35">
      <c r="A119" s="274">
        <f>MATCH(B119,STUDIES!$A$3:$A$502,0)</f>
        <v>10</v>
      </c>
      <c r="B119" s="272" t="s">
        <v>697</v>
      </c>
      <c r="D119" s="269" t="s">
        <v>1090</v>
      </c>
      <c r="E119" s="256" t="s">
        <v>153</v>
      </c>
      <c r="F119" s="155" t="str">
        <f>_xlfn.XLOOKUP(B119,STUDIES!$A$3:$A$1063,STUDIES!$G$3:$G$1063,"Not Found!")</f>
        <v>A</v>
      </c>
      <c r="G119" s="257" t="s">
        <v>147</v>
      </c>
      <c r="H119" s="257">
        <v>12</v>
      </c>
      <c r="I119" s="257">
        <v>33</v>
      </c>
      <c r="J119" s="258"/>
      <c r="K119" s="259"/>
      <c r="L119" s="259"/>
      <c r="M119" s="259"/>
      <c r="N119" s="259"/>
      <c r="O119" s="259"/>
      <c r="P119" s="259"/>
      <c r="Q119" s="279" t="s">
        <v>90</v>
      </c>
      <c r="R119" s="289">
        <v>-5.3</v>
      </c>
      <c r="S119" s="259"/>
      <c r="T119" s="259">
        <v>7.6</v>
      </c>
      <c r="U119" s="259"/>
      <c r="V119" s="259"/>
      <c r="W119" s="259"/>
      <c r="X119" s="264"/>
      <c r="Y119" s="259"/>
      <c r="Z119" s="259"/>
      <c r="AA119" s="259"/>
      <c r="AB119" s="259"/>
      <c r="AC119" s="259"/>
      <c r="AD119" s="264"/>
      <c r="AE119" s="259"/>
      <c r="AF119" s="259"/>
      <c r="AG119" s="259"/>
      <c r="AH119" s="259"/>
      <c r="AI119" s="259"/>
      <c r="AJ119" s="265"/>
      <c r="AK119" s="266"/>
      <c r="AL119" s="266"/>
      <c r="AM119" s="266"/>
      <c r="AN119" s="266"/>
      <c r="AO119" s="267"/>
      <c r="AP119" s="266"/>
      <c r="AQ119" s="266"/>
      <c r="AR119" s="266"/>
      <c r="AS119" s="266"/>
      <c r="AT119" s="266"/>
      <c r="AU119" s="267"/>
    </row>
    <row r="120" spans="1:47" ht="18" customHeight="1" x14ac:dyDescent="0.35">
      <c r="A120" s="274">
        <f>MATCH(B120,STUDIES!$A$3:$A$502,0)</f>
        <v>10</v>
      </c>
      <c r="B120" s="272" t="s">
        <v>697</v>
      </c>
      <c r="D120" s="281" t="s">
        <v>1090</v>
      </c>
      <c r="E120" s="272" t="s">
        <v>1163</v>
      </c>
      <c r="F120" s="155" t="str">
        <f>_xlfn.XLOOKUP(B120,STUDIES!$A$3:$A$1063,STUDIES!$G$3:$G$1063,"Not Found!")</f>
        <v>A</v>
      </c>
      <c r="G120" s="273" t="s">
        <v>147</v>
      </c>
      <c r="H120" s="273">
        <v>12</v>
      </c>
      <c r="I120" s="273">
        <v>51</v>
      </c>
      <c r="J120" s="274">
        <v>0</v>
      </c>
    </row>
    <row r="121" spans="1:47" ht="18" customHeight="1" x14ac:dyDescent="0.35">
      <c r="A121" s="274">
        <f>MATCH(B121,STUDIES!$A$3:$A$502,0)</f>
        <v>10</v>
      </c>
      <c r="B121" s="272" t="s">
        <v>697</v>
      </c>
      <c r="D121" s="281" t="s">
        <v>1090</v>
      </c>
      <c r="E121" s="272" t="s">
        <v>1167</v>
      </c>
      <c r="F121" s="155" t="str">
        <f>_xlfn.XLOOKUP(B121,STUDIES!$A$3:$A$1063,STUDIES!$G$3:$G$1063,"Not Found!")</f>
        <v>A</v>
      </c>
      <c r="G121" s="273" t="s">
        <v>147</v>
      </c>
      <c r="H121" s="273">
        <v>12</v>
      </c>
      <c r="I121" s="273">
        <v>51</v>
      </c>
      <c r="J121" s="274">
        <v>8</v>
      </c>
    </row>
    <row r="122" spans="1:47" ht="18" customHeight="1" x14ac:dyDescent="0.35">
      <c r="A122" s="274">
        <f>MATCH(B122,STUDIES!$A$3:$A$502,0)</f>
        <v>10</v>
      </c>
      <c r="B122" s="272" t="s">
        <v>697</v>
      </c>
      <c r="D122" s="269" t="s">
        <v>148</v>
      </c>
      <c r="E122" s="256" t="s">
        <v>154</v>
      </c>
      <c r="F122" s="155" t="str">
        <f>_xlfn.XLOOKUP(B122,STUDIES!$A$3:$A$1063,STUDIES!$G$3:$G$1063,"Not Found!")</f>
        <v>A</v>
      </c>
      <c r="G122" s="257" t="s">
        <v>147</v>
      </c>
      <c r="H122" s="257">
        <v>12</v>
      </c>
      <c r="I122" s="257">
        <v>36</v>
      </c>
      <c r="J122" s="258"/>
      <c r="K122" s="259"/>
      <c r="L122" s="259"/>
      <c r="M122" s="259"/>
      <c r="N122" s="259"/>
      <c r="O122" s="259"/>
      <c r="P122" s="259"/>
      <c r="Q122" s="279" t="s">
        <v>90</v>
      </c>
      <c r="R122" s="301">
        <v>-4.5999999999999996</v>
      </c>
      <c r="S122" s="288"/>
      <c r="T122" s="288">
        <v>8.49</v>
      </c>
      <c r="U122" s="288"/>
      <c r="V122" s="288"/>
      <c r="W122" s="288"/>
      <c r="X122" s="264"/>
      <c r="Y122" s="259"/>
      <c r="Z122" s="259"/>
      <c r="AA122" s="259"/>
      <c r="AB122" s="259"/>
      <c r="AC122" s="259"/>
      <c r="AD122" s="264"/>
      <c r="AE122" s="259"/>
      <c r="AF122" s="259"/>
      <c r="AG122" s="259"/>
      <c r="AH122" s="259"/>
      <c r="AI122" s="259"/>
      <c r="AJ122" s="265"/>
      <c r="AK122" s="266"/>
      <c r="AL122" s="266"/>
      <c r="AM122" s="266"/>
      <c r="AN122" s="266"/>
      <c r="AO122" s="267"/>
      <c r="AP122" s="266"/>
      <c r="AQ122" s="266"/>
      <c r="AR122" s="266"/>
      <c r="AS122" s="266"/>
      <c r="AT122" s="266"/>
      <c r="AU122" s="267"/>
    </row>
    <row r="123" spans="1:47" ht="18" customHeight="1" x14ac:dyDescent="0.35">
      <c r="A123" s="274">
        <f>MATCH(B123,STUDIES!$A$3:$A$502,0)</f>
        <v>10</v>
      </c>
      <c r="B123" s="270" t="s">
        <v>697</v>
      </c>
      <c r="C123" s="459"/>
      <c r="D123" s="278" t="s">
        <v>148</v>
      </c>
      <c r="E123" s="256" t="s">
        <v>151</v>
      </c>
      <c r="F123" s="155" t="str">
        <f>_xlfn.XLOOKUP(B123,STUDIES!$A$3:$A$1063,STUDIES!$G$3:$G$1063,"Not Found!")</f>
        <v>A</v>
      </c>
      <c r="G123" s="257" t="s">
        <v>147</v>
      </c>
      <c r="H123" s="257">
        <v>12</v>
      </c>
      <c r="I123" s="257">
        <v>52</v>
      </c>
      <c r="J123" s="258"/>
      <c r="K123" s="259">
        <v>25.4</v>
      </c>
      <c r="L123" s="259"/>
      <c r="M123" s="259">
        <v>12.9</v>
      </c>
      <c r="N123" s="259"/>
      <c r="O123" s="259"/>
      <c r="P123" s="259"/>
      <c r="Q123" s="279" t="s">
        <v>92</v>
      </c>
      <c r="R123" s="289"/>
      <c r="S123" s="259"/>
      <c r="T123" s="259"/>
      <c r="U123" s="259"/>
      <c r="V123" s="259"/>
      <c r="W123" s="259"/>
      <c r="X123" s="264"/>
      <c r="Y123" s="259"/>
      <c r="Z123" s="259"/>
      <c r="AA123" s="259"/>
      <c r="AB123" s="259"/>
      <c r="AC123" s="259"/>
      <c r="AD123" s="264"/>
      <c r="AE123" s="259"/>
      <c r="AF123" s="259"/>
      <c r="AG123" s="259"/>
      <c r="AH123" s="259"/>
      <c r="AI123" s="259"/>
      <c r="AJ123" s="265">
        <v>-35.200000000000003</v>
      </c>
      <c r="AK123" s="266"/>
      <c r="AL123" s="266"/>
      <c r="AM123" s="296">
        <v>-46.1</v>
      </c>
      <c r="AN123" s="296">
        <v>-24.4</v>
      </c>
      <c r="AO123" s="297">
        <v>0.9</v>
      </c>
      <c r="AP123" s="298"/>
      <c r="AQ123" s="298"/>
      <c r="AR123" s="298"/>
      <c r="AS123" s="298"/>
      <c r="AT123" s="298"/>
      <c r="AU123" s="297"/>
    </row>
    <row r="124" spans="1:47" ht="18" customHeight="1" x14ac:dyDescent="0.35">
      <c r="A124" s="274">
        <f>MATCH(B124,STUDIES!$A$3:$A$502,0)</f>
        <v>10</v>
      </c>
      <c r="B124" s="270" t="s">
        <v>697</v>
      </c>
      <c r="C124" s="459"/>
      <c r="D124" s="269" t="s">
        <v>148</v>
      </c>
      <c r="E124" s="256" t="s">
        <v>291</v>
      </c>
      <c r="F124" s="155" t="str">
        <f>_xlfn.XLOOKUP(B124,STUDIES!$A$3:$A$1063,STUDIES!$G$3:$G$1063,"Not Found!")</f>
        <v>A</v>
      </c>
      <c r="G124" s="257" t="s">
        <v>147</v>
      </c>
      <c r="H124" s="257">
        <v>12</v>
      </c>
      <c r="I124" s="257">
        <v>35</v>
      </c>
      <c r="J124" s="258"/>
      <c r="K124" s="259"/>
      <c r="L124" s="259"/>
      <c r="M124" s="259"/>
      <c r="N124" s="259"/>
      <c r="O124" s="259"/>
      <c r="P124" s="259"/>
      <c r="Q124" s="279" t="s">
        <v>90</v>
      </c>
      <c r="R124" s="280">
        <v>-2.6</v>
      </c>
      <c r="S124" s="259"/>
      <c r="T124" s="263">
        <v>3.081</v>
      </c>
      <c r="U124" s="263"/>
      <c r="V124" s="263"/>
      <c r="W124" s="263"/>
      <c r="X124" s="264"/>
      <c r="Y124" s="259"/>
      <c r="Z124" s="259"/>
      <c r="AA124" s="259"/>
      <c r="AB124" s="259"/>
      <c r="AC124" s="259"/>
      <c r="AD124" s="264"/>
      <c r="AE124" s="259"/>
      <c r="AF124" s="259"/>
      <c r="AG124" s="259"/>
      <c r="AH124" s="259"/>
      <c r="AI124" s="259"/>
      <c r="AJ124" s="262"/>
      <c r="AK124" s="266"/>
      <c r="AL124" s="263"/>
      <c r="AM124" s="263"/>
      <c r="AN124" s="263"/>
      <c r="AO124" s="267"/>
      <c r="AP124" s="266"/>
      <c r="AQ124" s="266"/>
      <c r="AR124" s="266"/>
      <c r="AS124" s="266"/>
      <c r="AT124" s="266"/>
      <c r="AU124" s="267"/>
    </row>
    <row r="125" spans="1:47" ht="18" customHeight="1" x14ac:dyDescent="0.35">
      <c r="A125" s="274">
        <f>MATCH(B125,STUDIES!$A$3:$A$502,0)</f>
        <v>10</v>
      </c>
      <c r="B125" s="272" t="s">
        <v>697</v>
      </c>
      <c r="D125" s="269" t="s">
        <v>148</v>
      </c>
      <c r="E125" s="256" t="s">
        <v>153</v>
      </c>
      <c r="F125" s="155" t="str">
        <f>_xlfn.XLOOKUP(B125,STUDIES!$A$3:$A$1063,STUDIES!$G$3:$G$1063,"Not Found!")</f>
        <v>A</v>
      </c>
      <c r="G125" s="257" t="s">
        <v>147</v>
      </c>
      <c r="H125" s="257">
        <v>12</v>
      </c>
      <c r="I125" s="257">
        <v>36</v>
      </c>
      <c r="J125" s="258"/>
      <c r="K125" s="259"/>
      <c r="L125" s="259"/>
      <c r="M125" s="259"/>
      <c r="N125" s="259"/>
      <c r="O125" s="259"/>
      <c r="P125" s="259"/>
      <c r="Q125" s="279" t="s">
        <v>90</v>
      </c>
      <c r="R125" s="289">
        <v>-3.8</v>
      </c>
      <c r="S125" s="259"/>
      <c r="T125" s="259">
        <v>8.2100000000000009</v>
      </c>
      <c r="U125" s="259"/>
      <c r="V125" s="259"/>
      <c r="W125" s="259"/>
      <c r="X125" s="264"/>
      <c r="Y125" s="259"/>
      <c r="Z125" s="259"/>
      <c r="AA125" s="259"/>
      <c r="AB125" s="259"/>
      <c r="AC125" s="259"/>
      <c r="AD125" s="264"/>
      <c r="AE125" s="259"/>
      <c r="AF125" s="259"/>
      <c r="AG125" s="259"/>
      <c r="AH125" s="259"/>
      <c r="AI125" s="259"/>
      <c r="AJ125" s="265"/>
      <c r="AK125" s="266"/>
      <c r="AL125" s="266"/>
      <c r="AM125" s="266"/>
      <c r="AN125" s="266"/>
      <c r="AO125" s="267"/>
      <c r="AP125" s="266"/>
      <c r="AQ125" s="266"/>
      <c r="AR125" s="266"/>
      <c r="AS125" s="266"/>
      <c r="AT125" s="266"/>
      <c r="AU125" s="267"/>
    </row>
    <row r="126" spans="1:47" ht="18" customHeight="1" x14ac:dyDescent="0.35">
      <c r="A126" s="274">
        <f>MATCH(B126,STUDIES!$A$3:$A$502,0)</f>
        <v>10</v>
      </c>
      <c r="B126" s="272" t="s">
        <v>697</v>
      </c>
      <c r="D126" s="281" t="s">
        <v>148</v>
      </c>
      <c r="E126" s="272" t="s">
        <v>1163</v>
      </c>
      <c r="F126" s="155" t="str">
        <f>_xlfn.XLOOKUP(B126,STUDIES!$A$3:$A$1063,STUDIES!$G$3:$G$1063,"Not Found!")</f>
        <v>A</v>
      </c>
      <c r="G126" s="273" t="s">
        <v>147</v>
      </c>
      <c r="H126" s="273">
        <v>12</v>
      </c>
      <c r="I126" s="273">
        <v>56</v>
      </c>
      <c r="J126" s="274">
        <v>2</v>
      </c>
    </row>
    <row r="127" spans="1:47" ht="18" customHeight="1" x14ac:dyDescent="0.35">
      <c r="A127" s="274">
        <f>MATCH(B127,STUDIES!$A$3:$A$502,0)</f>
        <v>10</v>
      </c>
      <c r="B127" s="272" t="s">
        <v>697</v>
      </c>
      <c r="D127" s="281" t="s">
        <v>148</v>
      </c>
      <c r="E127" s="272" t="s">
        <v>1167</v>
      </c>
      <c r="F127" s="155" t="str">
        <f>_xlfn.XLOOKUP(B127,STUDIES!$A$3:$A$1063,STUDIES!$G$3:$G$1063,"Not Found!")</f>
        <v>A</v>
      </c>
      <c r="G127" s="273" t="s">
        <v>147</v>
      </c>
      <c r="H127" s="273">
        <v>12</v>
      </c>
      <c r="I127" s="273">
        <v>56</v>
      </c>
      <c r="J127" s="274">
        <v>9</v>
      </c>
    </row>
    <row r="128" spans="1:47" ht="18" customHeight="1" x14ac:dyDescent="0.35">
      <c r="A128" s="274">
        <f>MATCH(B128,STUDIES!$A$3:$A$502,0)</f>
        <v>11</v>
      </c>
      <c r="B128" s="256" t="s">
        <v>740</v>
      </c>
      <c r="C128" s="458"/>
      <c r="D128" s="269" t="s">
        <v>1049</v>
      </c>
      <c r="E128" s="256" t="s">
        <v>154</v>
      </c>
      <c r="F128" s="155" t="str">
        <f>_xlfn.XLOOKUP(B128,STUDIES!$A$3:$A$1063,STUDIES!$G$3:$G$1063,"Not Found!")</f>
        <v>A</v>
      </c>
      <c r="G128" s="257" t="s">
        <v>147</v>
      </c>
      <c r="H128" s="299">
        <v>16</v>
      </c>
      <c r="I128" s="299">
        <v>34</v>
      </c>
      <c r="J128" s="300"/>
      <c r="K128" s="259">
        <v>13.2</v>
      </c>
      <c r="L128" s="259"/>
      <c r="M128" s="259">
        <v>7.5</v>
      </c>
      <c r="N128" s="259"/>
      <c r="O128" s="259"/>
      <c r="P128" s="259"/>
      <c r="Q128" s="279" t="s">
        <v>150</v>
      </c>
      <c r="R128" s="289"/>
      <c r="S128" s="259"/>
      <c r="T128" s="259"/>
      <c r="U128" s="259"/>
      <c r="V128" s="259"/>
      <c r="W128" s="259"/>
      <c r="X128" s="262">
        <v>4.3</v>
      </c>
      <c r="Y128" s="259"/>
      <c r="Z128" s="263">
        <v>5.4</v>
      </c>
      <c r="AA128" s="263"/>
      <c r="AB128" s="263"/>
      <c r="AC128" s="263"/>
      <c r="AD128" s="264"/>
      <c r="AE128" s="259"/>
      <c r="AF128" s="259"/>
      <c r="AG128" s="259"/>
      <c r="AH128" s="259"/>
      <c r="AI128" s="259"/>
      <c r="AJ128" s="265"/>
      <c r="AK128" s="266"/>
      <c r="AL128" s="266"/>
      <c r="AM128" s="266"/>
      <c r="AN128" s="266"/>
      <c r="AO128" s="267"/>
      <c r="AP128" s="266"/>
      <c r="AQ128" s="266"/>
      <c r="AR128" s="266"/>
      <c r="AS128" s="266"/>
      <c r="AT128" s="266"/>
      <c r="AU128" s="267"/>
    </row>
    <row r="129" spans="1:137" ht="18" customHeight="1" x14ac:dyDescent="0.35">
      <c r="A129" s="274">
        <f>MATCH(B129,STUDIES!$A$3:$A$502,0)</f>
        <v>11</v>
      </c>
      <c r="B129" s="256" t="s">
        <v>740</v>
      </c>
      <c r="C129" s="458"/>
      <c r="D129" s="269" t="s">
        <v>1049</v>
      </c>
      <c r="E129" s="256" t="s">
        <v>154</v>
      </c>
      <c r="F129" s="155" t="str">
        <f>_xlfn.XLOOKUP(B129,STUDIES!$A$3:$A$1063,STUDIES!$G$3:$G$1063,"Not Found!")</f>
        <v>A</v>
      </c>
      <c r="G129" s="257" t="s">
        <v>152</v>
      </c>
      <c r="H129" s="257">
        <v>24</v>
      </c>
      <c r="I129" s="257">
        <v>31</v>
      </c>
      <c r="J129" s="258"/>
      <c r="K129" s="259">
        <v>13.2</v>
      </c>
      <c r="L129" s="259"/>
      <c r="M129" s="259">
        <v>7.5</v>
      </c>
      <c r="N129" s="259"/>
      <c r="O129" s="259"/>
      <c r="P129" s="259"/>
      <c r="Q129" s="279" t="s">
        <v>150</v>
      </c>
      <c r="R129" s="289"/>
      <c r="S129" s="259"/>
      <c r="T129" s="259"/>
      <c r="U129" s="259"/>
      <c r="V129" s="259"/>
      <c r="W129" s="259"/>
      <c r="X129" s="264">
        <v>3.3</v>
      </c>
      <c r="Y129" s="259"/>
      <c r="Z129" s="259">
        <v>4.4000000000000004</v>
      </c>
      <c r="AA129" s="259"/>
      <c r="AB129" s="259"/>
      <c r="AC129" s="259"/>
      <c r="AD129" s="264"/>
      <c r="AE129" s="259"/>
      <c r="AF129" s="259"/>
      <c r="AG129" s="259"/>
      <c r="AH129" s="259"/>
      <c r="AI129" s="259"/>
      <c r="AJ129" s="265"/>
      <c r="AK129" s="266"/>
      <c r="AL129" s="266"/>
      <c r="AM129" s="266"/>
      <c r="AN129" s="266"/>
      <c r="AO129" s="302"/>
      <c r="AP129" s="266"/>
      <c r="AQ129" s="266"/>
      <c r="AR129" s="266"/>
      <c r="AS129" s="266"/>
      <c r="AT129" s="266"/>
      <c r="AU129" s="267"/>
    </row>
    <row r="130" spans="1:137" ht="18" customHeight="1" x14ac:dyDescent="0.35">
      <c r="A130" s="274">
        <f>MATCH(B130,STUDIES!$A$3:$A$502,0)</f>
        <v>11</v>
      </c>
      <c r="B130" s="256" t="s">
        <v>740</v>
      </c>
      <c r="C130" s="458"/>
      <c r="D130" s="269" t="s">
        <v>1049</v>
      </c>
      <c r="E130" s="256" t="s">
        <v>151</v>
      </c>
      <c r="F130" s="155" t="str">
        <f>_xlfn.XLOOKUP(B130,STUDIES!$A$3:$A$1063,STUDIES!$G$3:$G$1063,"Not Found!")</f>
        <v>A</v>
      </c>
      <c r="G130" s="257" t="s">
        <v>147</v>
      </c>
      <c r="H130" s="299">
        <v>16</v>
      </c>
      <c r="I130" s="299">
        <v>34</v>
      </c>
      <c r="J130" s="300"/>
      <c r="K130" s="259">
        <v>19.3</v>
      </c>
      <c r="L130" s="259"/>
      <c r="M130" s="259">
        <v>11.8</v>
      </c>
      <c r="N130" s="259"/>
      <c r="O130" s="259"/>
      <c r="P130" s="259"/>
      <c r="Q130" s="279" t="s">
        <v>150</v>
      </c>
      <c r="R130" s="289"/>
      <c r="S130" s="259"/>
      <c r="T130" s="259"/>
      <c r="U130" s="259"/>
      <c r="V130" s="259"/>
      <c r="W130" s="259"/>
      <c r="X130" s="262">
        <v>6.1</v>
      </c>
      <c r="Y130" s="259"/>
      <c r="Z130" s="263">
        <v>8.1</v>
      </c>
      <c r="AA130" s="263"/>
      <c r="AB130" s="263"/>
      <c r="AC130" s="263"/>
      <c r="AD130" s="264"/>
      <c r="AE130" s="259"/>
      <c r="AF130" s="259"/>
      <c r="AG130" s="259"/>
      <c r="AH130" s="259"/>
      <c r="AI130" s="259"/>
      <c r="AJ130" s="265"/>
      <c r="AK130" s="266"/>
      <c r="AL130" s="266"/>
      <c r="AM130" s="266"/>
      <c r="AN130" s="266"/>
      <c r="AO130" s="302"/>
      <c r="AP130" s="266"/>
      <c r="AQ130" s="266"/>
      <c r="AR130" s="266"/>
      <c r="AS130" s="266"/>
      <c r="AT130" s="266"/>
      <c r="AU130" s="267"/>
    </row>
    <row r="131" spans="1:137" ht="18" customHeight="1" x14ac:dyDescent="0.35">
      <c r="A131" s="274">
        <f>MATCH(B131,STUDIES!$A$3:$A$502,0)</f>
        <v>11</v>
      </c>
      <c r="B131" s="256" t="s">
        <v>740</v>
      </c>
      <c r="C131" s="458"/>
      <c r="D131" s="269" t="s">
        <v>1049</v>
      </c>
      <c r="E131" s="256" t="s">
        <v>151</v>
      </c>
      <c r="F131" s="155" t="str">
        <f>_xlfn.XLOOKUP(B131,STUDIES!$A$3:$A$1063,STUDIES!$G$3:$G$1063,"Not Found!")</f>
        <v>A</v>
      </c>
      <c r="G131" s="257" t="s">
        <v>152</v>
      </c>
      <c r="H131" s="257">
        <v>24</v>
      </c>
      <c r="I131" s="257">
        <v>31</v>
      </c>
      <c r="J131" s="258"/>
      <c r="K131" s="259">
        <v>19.3</v>
      </c>
      <c r="L131" s="259"/>
      <c r="M131" s="259">
        <v>11.8</v>
      </c>
      <c r="N131" s="259"/>
      <c r="O131" s="259"/>
      <c r="P131" s="259"/>
      <c r="Q131" s="271" t="s">
        <v>150</v>
      </c>
      <c r="R131" s="264"/>
      <c r="S131" s="259"/>
      <c r="T131" s="259"/>
      <c r="U131" s="259"/>
      <c r="V131" s="259"/>
      <c r="W131" s="259"/>
      <c r="X131" s="264">
        <v>5.4</v>
      </c>
      <c r="Y131" s="259"/>
      <c r="Z131" s="259">
        <v>5</v>
      </c>
      <c r="AA131" s="259"/>
      <c r="AB131" s="259"/>
      <c r="AC131" s="259"/>
      <c r="AD131" s="264"/>
      <c r="AE131" s="259"/>
      <c r="AF131" s="259"/>
      <c r="AG131" s="259"/>
      <c r="AH131" s="259"/>
      <c r="AI131" s="259"/>
      <c r="AJ131" s="265"/>
      <c r="AK131" s="266"/>
      <c r="AL131" s="266"/>
      <c r="AM131" s="266"/>
      <c r="AN131" s="266"/>
      <c r="AO131" s="267"/>
      <c r="AP131" s="266"/>
      <c r="AQ131" s="266"/>
      <c r="AR131" s="266"/>
      <c r="AS131" s="266"/>
      <c r="AT131" s="266"/>
      <c r="AU131" s="267"/>
    </row>
    <row r="132" spans="1:137" s="283" customFormat="1" ht="18" customHeight="1" x14ac:dyDescent="0.35">
      <c r="A132" s="274">
        <f>MATCH(B132,STUDIES!$A$3:$A$502,0)</f>
        <v>11</v>
      </c>
      <c r="B132" s="272" t="s">
        <v>740</v>
      </c>
      <c r="C132" s="435"/>
      <c r="D132" s="269" t="s">
        <v>1049</v>
      </c>
      <c r="E132" s="272" t="s">
        <v>1163</v>
      </c>
      <c r="F132" s="155" t="str">
        <f>_xlfn.XLOOKUP(B132,STUDIES!$A$3:$A$1063,STUDIES!$G$3:$G$1063,"Not Found!")</f>
        <v>A</v>
      </c>
      <c r="G132" s="273" t="s">
        <v>152</v>
      </c>
      <c r="H132" s="273">
        <v>24</v>
      </c>
      <c r="I132" s="273">
        <v>47</v>
      </c>
      <c r="J132" s="274">
        <v>1</v>
      </c>
      <c r="K132" s="268"/>
      <c r="L132" s="268"/>
      <c r="M132" s="268"/>
      <c r="N132" s="268"/>
      <c r="O132" s="268"/>
      <c r="P132" s="268"/>
      <c r="Q132" s="275"/>
      <c r="R132" s="276"/>
      <c r="S132" s="268"/>
      <c r="T132" s="268"/>
      <c r="U132" s="268"/>
      <c r="V132" s="268"/>
      <c r="W132" s="268"/>
      <c r="X132" s="276"/>
      <c r="Y132" s="268"/>
      <c r="Z132" s="268"/>
      <c r="AA132" s="268"/>
      <c r="AB132" s="268"/>
      <c r="AC132" s="268"/>
      <c r="AD132" s="276"/>
      <c r="AE132" s="268"/>
      <c r="AF132" s="268"/>
      <c r="AG132" s="268"/>
      <c r="AH132" s="268"/>
      <c r="AI132" s="268"/>
      <c r="AJ132" s="276"/>
      <c r="AK132" s="268"/>
      <c r="AL132" s="268"/>
      <c r="AM132" s="268"/>
      <c r="AN132" s="268"/>
      <c r="AO132" s="275"/>
      <c r="AP132" s="268"/>
      <c r="AQ132" s="268"/>
      <c r="AR132" s="268"/>
      <c r="AS132" s="268"/>
      <c r="AT132" s="268"/>
      <c r="AU132" s="275"/>
      <c r="AV132" s="268"/>
      <c r="AW132" s="268"/>
      <c r="AX132" s="268"/>
      <c r="AY132" s="268"/>
      <c r="AZ132" s="268"/>
      <c r="BA132" s="268"/>
      <c r="BB132" s="268"/>
      <c r="BC132" s="268"/>
      <c r="BD132" s="268"/>
      <c r="BE132" s="268"/>
      <c r="BF132" s="268"/>
      <c r="BG132" s="268"/>
      <c r="BH132" s="268"/>
      <c r="BI132" s="268"/>
      <c r="BJ132" s="268"/>
      <c r="BK132" s="268"/>
      <c r="BL132" s="268"/>
      <c r="BM132" s="268"/>
      <c r="BN132" s="268"/>
      <c r="BO132" s="268"/>
      <c r="BP132" s="268"/>
      <c r="BQ132" s="268"/>
      <c r="BR132" s="268"/>
      <c r="BS132" s="268"/>
      <c r="BT132" s="268"/>
      <c r="BU132" s="268"/>
      <c r="BV132" s="268"/>
      <c r="BW132" s="268"/>
      <c r="BX132" s="268"/>
      <c r="BY132" s="268"/>
      <c r="BZ132" s="268"/>
      <c r="CA132" s="268"/>
      <c r="CB132" s="268"/>
      <c r="CC132" s="268"/>
      <c r="CD132" s="268"/>
      <c r="CE132" s="268"/>
      <c r="CF132" s="268"/>
      <c r="CG132" s="268"/>
      <c r="CH132" s="268"/>
      <c r="CI132" s="268"/>
      <c r="CJ132" s="268"/>
      <c r="CK132" s="268"/>
      <c r="CL132" s="268"/>
      <c r="CM132" s="268"/>
      <c r="CN132" s="268"/>
      <c r="CO132" s="268"/>
      <c r="CP132" s="268"/>
      <c r="CQ132" s="268"/>
      <c r="CR132" s="268"/>
      <c r="CS132" s="268"/>
      <c r="CT132" s="268"/>
      <c r="CU132" s="268"/>
      <c r="CV132" s="268"/>
      <c r="CW132" s="268"/>
      <c r="CX132" s="268"/>
      <c r="CY132" s="268"/>
      <c r="CZ132" s="268"/>
      <c r="DA132" s="268"/>
      <c r="DB132" s="268"/>
      <c r="DC132" s="268"/>
      <c r="DD132" s="268"/>
      <c r="DE132" s="268"/>
      <c r="DF132" s="268"/>
      <c r="DG132" s="268"/>
      <c r="DH132" s="268"/>
      <c r="DI132" s="268"/>
      <c r="DJ132" s="268"/>
      <c r="DK132" s="268"/>
      <c r="DL132" s="268"/>
      <c r="DM132" s="268"/>
      <c r="DN132" s="268"/>
      <c r="DO132" s="268"/>
      <c r="DP132" s="268"/>
      <c r="DQ132" s="268"/>
      <c r="DR132" s="268"/>
      <c r="DS132" s="268"/>
      <c r="DT132" s="268"/>
      <c r="DU132" s="268"/>
      <c r="DV132" s="268"/>
      <c r="DW132" s="268"/>
      <c r="DX132" s="268"/>
      <c r="DY132" s="268"/>
      <c r="DZ132" s="268"/>
      <c r="EA132" s="268"/>
      <c r="EB132" s="268"/>
      <c r="EC132" s="268"/>
      <c r="ED132" s="268"/>
      <c r="EE132" s="268"/>
      <c r="EF132" s="268"/>
      <c r="EG132" s="268"/>
    </row>
    <row r="133" spans="1:137" s="283" customFormat="1" ht="18" customHeight="1" x14ac:dyDescent="0.35">
      <c r="A133" s="274">
        <f>MATCH(B133,STUDIES!$A$3:$A$502,0)</f>
        <v>11</v>
      </c>
      <c r="B133" s="272" t="s">
        <v>740</v>
      </c>
      <c r="C133" s="435"/>
      <c r="D133" s="281" t="s">
        <v>1049</v>
      </c>
      <c r="E133" s="272" t="s">
        <v>1167</v>
      </c>
      <c r="F133" s="155" t="str">
        <f>_xlfn.XLOOKUP(B133,STUDIES!$A$3:$A$1063,STUDIES!$G$3:$G$1063,"Not Found!")</f>
        <v>A</v>
      </c>
      <c r="G133" s="273" t="s">
        <v>152</v>
      </c>
      <c r="H133" s="273">
        <v>24</v>
      </c>
      <c r="I133" s="273">
        <v>47</v>
      </c>
      <c r="J133" s="274">
        <v>1</v>
      </c>
      <c r="K133" s="268"/>
      <c r="L133" s="268"/>
      <c r="M133" s="268"/>
      <c r="N133" s="268"/>
      <c r="O133" s="268"/>
      <c r="P133" s="268"/>
      <c r="Q133" s="275"/>
      <c r="R133" s="276"/>
      <c r="S133" s="268"/>
      <c r="T133" s="268"/>
      <c r="U133" s="268"/>
      <c r="V133" s="268"/>
      <c r="W133" s="268"/>
      <c r="X133" s="276"/>
      <c r="Y133" s="268"/>
      <c r="Z133" s="268"/>
      <c r="AA133" s="268"/>
      <c r="AB133" s="268"/>
      <c r="AC133" s="268"/>
      <c r="AD133" s="276"/>
      <c r="AE133" s="268"/>
      <c r="AF133" s="268"/>
      <c r="AG133" s="268"/>
      <c r="AH133" s="268"/>
      <c r="AI133" s="268"/>
      <c r="AJ133" s="276"/>
      <c r="AK133" s="268"/>
      <c r="AL133" s="268"/>
      <c r="AM133" s="268"/>
      <c r="AN133" s="268"/>
      <c r="AO133" s="275"/>
      <c r="AP133" s="268"/>
      <c r="AQ133" s="268"/>
      <c r="AR133" s="268"/>
      <c r="AS133" s="268"/>
      <c r="AT133" s="268"/>
      <c r="AU133" s="275"/>
      <c r="AV133" s="268"/>
      <c r="AW133" s="268"/>
      <c r="AX133" s="268"/>
      <c r="AY133" s="268"/>
      <c r="AZ133" s="268"/>
      <c r="BA133" s="268"/>
      <c r="BB133" s="268"/>
      <c r="BC133" s="268"/>
      <c r="BD133" s="268"/>
      <c r="BE133" s="268"/>
      <c r="BF133" s="268"/>
      <c r="BG133" s="268"/>
      <c r="BH133" s="268"/>
      <c r="BI133" s="268"/>
      <c r="BJ133" s="268"/>
      <c r="BK133" s="268"/>
      <c r="BL133" s="268"/>
      <c r="BM133" s="268"/>
      <c r="BN133" s="268"/>
      <c r="BO133" s="268"/>
      <c r="BP133" s="268"/>
      <c r="BQ133" s="268"/>
      <c r="BR133" s="268"/>
      <c r="BS133" s="268"/>
      <c r="BT133" s="268"/>
      <c r="BU133" s="268"/>
      <c r="BV133" s="268"/>
      <c r="BW133" s="268"/>
      <c r="BX133" s="268"/>
      <c r="BY133" s="268"/>
      <c r="BZ133" s="268"/>
      <c r="CA133" s="268"/>
      <c r="CB133" s="268"/>
      <c r="CC133" s="268"/>
      <c r="CD133" s="268"/>
      <c r="CE133" s="268"/>
      <c r="CF133" s="268"/>
      <c r="CG133" s="268"/>
      <c r="CH133" s="268"/>
      <c r="CI133" s="268"/>
      <c r="CJ133" s="268"/>
      <c r="CK133" s="268"/>
      <c r="CL133" s="268"/>
      <c r="CM133" s="268"/>
      <c r="CN133" s="268"/>
      <c r="CO133" s="268"/>
      <c r="CP133" s="268"/>
      <c r="CQ133" s="268"/>
      <c r="CR133" s="268"/>
      <c r="CS133" s="268"/>
      <c r="CT133" s="268"/>
      <c r="CU133" s="268"/>
      <c r="CV133" s="268"/>
      <c r="CW133" s="268"/>
      <c r="CX133" s="268"/>
      <c r="CY133" s="268"/>
      <c r="CZ133" s="268"/>
      <c r="DA133" s="268"/>
      <c r="DB133" s="268"/>
      <c r="DC133" s="268"/>
      <c r="DD133" s="268"/>
      <c r="DE133" s="268"/>
      <c r="DF133" s="268"/>
      <c r="DG133" s="268"/>
      <c r="DH133" s="268"/>
      <c r="DI133" s="268"/>
      <c r="DJ133" s="268"/>
      <c r="DK133" s="268"/>
      <c r="DL133" s="268"/>
      <c r="DM133" s="268"/>
      <c r="DN133" s="268"/>
      <c r="DO133" s="268"/>
      <c r="DP133" s="268"/>
      <c r="DQ133" s="268"/>
      <c r="DR133" s="268"/>
      <c r="DS133" s="268"/>
      <c r="DT133" s="268"/>
      <c r="DU133" s="268"/>
      <c r="DV133" s="268"/>
      <c r="DW133" s="268"/>
      <c r="DX133" s="268"/>
      <c r="DY133" s="268"/>
      <c r="DZ133" s="268"/>
      <c r="EA133" s="268"/>
      <c r="EB133" s="268"/>
      <c r="EC133" s="268"/>
      <c r="ED133" s="268"/>
      <c r="EE133" s="268"/>
      <c r="EF133" s="268"/>
      <c r="EG133" s="268"/>
    </row>
    <row r="134" spans="1:137" s="283" customFormat="1" ht="18" customHeight="1" x14ac:dyDescent="0.35">
      <c r="A134" s="274">
        <f>MATCH(B134,STUDIES!$A$3:$A$502,0)</f>
        <v>11</v>
      </c>
      <c r="B134" s="256" t="s">
        <v>740</v>
      </c>
      <c r="C134" s="458"/>
      <c r="D134" s="269" t="s">
        <v>1075</v>
      </c>
      <c r="E134" s="256" t="s">
        <v>154</v>
      </c>
      <c r="F134" s="155" t="str">
        <f>_xlfn.XLOOKUP(B134,STUDIES!$A$3:$A$1063,STUDIES!$G$3:$G$1063,"Not Found!")</f>
        <v>A</v>
      </c>
      <c r="G134" s="257" t="s">
        <v>147</v>
      </c>
      <c r="H134" s="299">
        <v>16</v>
      </c>
      <c r="I134" s="257">
        <v>28</v>
      </c>
      <c r="J134" s="258"/>
      <c r="K134" s="259">
        <v>12.3</v>
      </c>
      <c r="L134" s="259"/>
      <c r="M134" s="259">
        <v>6.3</v>
      </c>
      <c r="N134" s="259"/>
      <c r="O134" s="259"/>
      <c r="P134" s="259"/>
      <c r="Q134" s="271" t="s">
        <v>150</v>
      </c>
      <c r="R134" s="264"/>
      <c r="S134" s="259"/>
      <c r="T134" s="259"/>
      <c r="U134" s="259"/>
      <c r="V134" s="259"/>
      <c r="W134" s="259"/>
      <c r="X134" s="262">
        <v>5.0999999999999996</v>
      </c>
      <c r="Y134" s="259"/>
      <c r="Z134" s="263">
        <v>3.5</v>
      </c>
      <c r="AA134" s="263"/>
      <c r="AB134" s="263"/>
      <c r="AC134" s="263"/>
      <c r="AD134" s="264"/>
      <c r="AE134" s="259"/>
      <c r="AF134" s="259"/>
      <c r="AG134" s="259"/>
      <c r="AH134" s="259"/>
      <c r="AI134" s="259"/>
      <c r="AJ134" s="265"/>
      <c r="AK134" s="266"/>
      <c r="AL134" s="266"/>
      <c r="AM134" s="266"/>
      <c r="AN134" s="266"/>
      <c r="AO134" s="267"/>
      <c r="AP134" s="266"/>
      <c r="AQ134" s="266"/>
      <c r="AR134" s="266"/>
      <c r="AS134" s="266"/>
      <c r="AT134" s="266"/>
      <c r="AU134" s="267"/>
      <c r="AV134" s="268"/>
      <c r="AW134" s="268"/>
      <c r="AX134" s="268"/>
      <c r="AY134" s="268"/>
      <c r="AZ134" s="268"/>
      <c r="BA134" s="268"/>
      <c r="BB134" s="268"/>
      <c r="BC134" s="268"/>
      <c r="BD134" s="268"/>
      <c r="BE134" s="268"/>
      <c r="BF134" s="268"/>
      <c r="BG134" s="268"/>
      <c r="BH134" s="268"/>
      <c r="BI134" s="268"/>
      <c r="BJ134" s="268"/>
      <c r="BK134" s="268"/>
      <c r="BL134" s="268"/>
      <c r="BM134" s="268"/>
      <c r="BN134" s="268"/>
      <c r="BO134" s="268"/>
      <c r="BP134" s="268"/>
      <c r="BQ134" s="268"/>
      <c r="BR134" s="268"/>
      <c r="BS134" s="268"/>
      <c r="BT134" s="268"/>
      <c r="BU134" s="268"/>
      <c r="BV134" s="268"/>
      <c r="BW134" s="268"/>
      <c r="BX134" s="268"/>
      <c r="BY134" s="268"/>
      <c r="BZ134" s="268"/>
      <c r="CA134" s="268"/>
      <c r="CB134" s="268"/>
      <c r="CC134" s="268"/>
      <c r="CD134" s="268"/>
      <c r="CE134" s="268"/>
      <c r="CF134" s="268"/>
      <c r="CG134" s="268"/>
      <c r="CH134" s="268"/>
      <c r="CI134" s="268"/>
      <c r="CJ134" s="268"/>
      <c r="CK134" s="268"/>
      <c r="CL134" s="268"/>
      <c r="CM134" s="268"/>
      <c r="CN134" s="268"/>
      <c r="CO134" s="268"/>
      <c r="CP134" s="268"/>
      <c r="CQ134" s="268"/>
      <c r="CR134" s="268"/>
      <c r="CS134" s="268"/>
      <c r="CT134" s="268"/>
      <c r="CU134" s="268"/>
      <c r="CV134" s="268"/>
      <c r="CW134" s="268"/>
      <c r="CX134" s="268"/>
      <c r="CY134" s="268"/>
      <c r="CZ134" s="268"/>
      <c r="DA134" s="268"/>
      <c r="DB134" s="268"/>
      <c r="DC134" s="268"/>
      <c r="DD134" s="268"/>
      <c r="DE134" s="268"/>
      <c r="DF134" s="268"/>
      <c r="DG134" s="268"/>
      <c r="DH134" s="268"/>
      <c r="DI134" s="268"/>
      <c r="DJ134" s="268"/>
      <c r="DK134" s="268"/>
      <c r="DL134" s="268"/>
      <c r="DM134" s="268"/>
      <c r="DN134" s="268"/>
      <c r="DO134" s="268"/>
      <c r="DP134" s="268"/>
      <c r="DQ134" s="268"/>
      <c r="DR134" s="268"/>
      <c r="DS134" s="268"/>
      <c r="DT134" s="268"/>
      <c r="DU134" s="268"/>
      <c r="DV134" s="268"/>
      <c r="DW134" s="268"/>
      <c r="DX134" s="268"/>
      <c r="DY134" s="268"/>
      <c r="DZ134" s="268"/>
      <c r="EA134" s="268"/>
      <c r="EB134" s="268"/>
      <c r="EC134" s="268"/>
      <c r="ED134" s="268"/>
      <c r="EE134" s="268"/>
      <c r="EF134" s="268"/>
      <c r="EG134" s="268"/>
    </row>
    <row r="135" spans="1:137" s="283" customFormat="1" ht="18" customHeight="1" x14ac:dyDescent="0.35">
      <c r="A135" s="274">
        <f>MATCH(B135,STUDIES!$A$3:$A$502,0)</f>
        <v>11</v>
      </c>
      <c r="B135" s="256" t="s">
        <v>740</v>
      </c>
      <c r="C135" s="458"/>
      <c r="D135" s="269" t="s">
        <v>1075</v>
      </c>
      <c r="E135" s="256" t="s">
        <v>154</v>
      </c>
      <c r="F135" s="155" t="str">
        <f>_xlfn.XLOOKUP(B135,STUDIES!$A$3:$A$1063,STUDIES!$G$3:$G$1063,"Not Found!")</f>
        <v>A</v>
      </c>
      <c r="G135" s="257" t="s">
        <v>152</v>
      </c>
      <c r="H135" s="257">
        <v>24</v>
      </c>
      <c r="I135" s="257">
        <v>23</v>
      </c>
      <c r="J135" s="258"/>
      <c r="K135" s="259">
        <v>12.3</v>
      </c>
      <c r="L135" s="259"/>
      <c r="M135" s="259">
        <v>6.3</v>
      </c>
      <c r="N135" s="259"/>
      <c r="O135" s="259"/>
      <c r="P135" s="259"/>
      <c r="Q135" s="271" t="s">
        <v>150</v>
      </c>
      <c r="R135" s="264"/>
      <c r="S135" s="259"/>
      <c r="T135" s="259"/>
      <c r="U135" s="259"/>
      <c r="V135" s="259"/>
      <c r="W135" s="259"/>
      <c r="X135" s="264">
        <v>5</v>
      </c>
      <c r="Y135" s="259"/>
      <c r="Z135" s="259">
        <v>4.5999999999999996</v>
      </c>
      <c r="AA135" s="259"/>
      <c r="AB135" s="259"/>
      <c r="AC135" s="259"/>
      <c r="AD135" s="264"/>
      <c r="AE135" s="259"/>
      <c r="AF135" s="259"/>
      <c r="AG135" s="259"/>
      <c r="AH135" s="259"/>
      <c r="AI135" s="259"/>
      <c r="AJ135" s="265"/>
      <c r="AK135" s="266"/>
      <c r="AL135" s="266"/>
      <c r="AM135" s="266"/>
      <c r="AN135" s="266"/>
      <c r="AO135" s="267"/>
      <c r="AP135" s="266"/>
      <c r="AQ135" s="266"/>
      <c r="AR135" s="266"/>
      <c r="AS135" s="266"/>
      <c r="AT135" s="266"/>
      <c r="AU135" s="267"/>
      <c r="AV135" s="268"/>
      <c r="AW135" s="268"/>
      <c r="AX135" s="268"/>
      <c r="AY135" s="268"/>
      <c r="AZ135" s="268"/>
      <c r="BA135" s="268"/>
      <c r="BB135" s="268"/>
      <c r="BC135" s="268"/>
      <c r="BD135" s="268"/>
      <c r="BE135" s="268"/>
      <c r="BF135" s="268"/>
      <c r="BG135" s="268"/>
      <c r="BH135" s="268"/>
      <c r="BI135" s="268"/>
      <c r="BJ135" s="268"/>
      <c r="BK135" s="268"/>
      <c r="BL135" s="268"/>
      <c r="BM135" s="268"/>
      <c r="BN135" s="268"/>
      <c r="BO135" s="268"/>
      <c r="BP135" s="268"/>
      <c r="BQ135" s="268"/>
      <c r="BR135" s="268"/>
      <c r="BS135" s="268"/>
      <c r="BT135" s="268"/>
      <c r="BU135" s="268"/>
      <c r="BV135" s="268"/>
      <c r="BW135" s="268"/>
      <c r="BX135" s="268"/>
      <c r="BY135" s="268"/>
      <c r="BZ135" s="268"/>
      <c r="CA135" s="268"/>
      <c r="CB135" s="268"/>
      <c r="CC135" s="268"/>
      <c r="CD135" s="268"/>
      <c r="CE135" s="268"/>
      <c r="CF135" s="268"/>
      <c r="CG135" s="268"/>
      <c r="CH135" s="268"/>
      <c r="CI135" s="268"/>
      <c r="CJ135" s="268"/>
      <c r="CK135" s="268"/>
      <c r="CL135" s="268"/>
      <c r="CM135" s="268"/>
      <c r="CN135" s="268"/>
      <c r="CO135" s="268"/>
      <c r="CP135" s="268"/>
      <c r="CQ135" s="268"/>
      <c r="CR135" s="268"/>
      <c r="CS135" s="268"/>
      <c r="CT135" s="268"/>
      <c r="CU135" s="268"/>
      <c r="CV135" s="268"/>
      <c r="CW135" s="268"/>
      <c r="CX135" s="268"/>
      <c r="CY135" s="268"/>
      <c r="CZ135" s="268"/>
      <c r="DA135" s="268"/>
      <c r="DB135" s="268"/>
      <c r="DC135" s="268"/>
      <c r="DD135" s="268"/>
      <c r="DE135" s="268"/>
      <c r="DF135" s="268"/>
      <c r="DG135" s="268"/>
      <c r="DH135" s="268"/>
      <c r="DI135" s="268"/>
      <c r="DJ135" s="268"/>
      <c r="DK135" s="268"/>
      <c r="DL135" s="268"/>
      <c r="DM135" s="268"/>
      <c r="DN135" s="268"/>
      <c r="DO135" s="268"/>
      <c r="DP135" s="268"/>
      <c r="DQ135" s="268"/>
      <c r="DR135" s="268"/>
      <c r="DS135" s="268"/>
      <c r="DT135" s="268"/>
      <c r="DU135" s="268"/>
      <c r="DV135" s="268"/>
      <c r="DW135" s="268"/>
      <c r="DX135" s="268"/>
      <c r="DY135" s="268"/>
      <c r="DZ135" s="268"/>
      <c r="EA135" s="268"/>
      <c r="EB135" s="268"/>
      <c r="EC135" s="268"/>
      <c r="ED135" s="268"/>
      <c r="EE135" s="268"/>
      <c r="EF135" s="268"/>
      <c r="EG135" s="268"/>
    </row>
    <row r="136" spans="1:137" s="283" customFormat="1" ht="18" customHeight="1" x14ac:dyDescent="0.35">
      <c r="A136" s="274">
        <f>MATCH(B136,STUDIES!$A$3:$A$502,0)</f>
        <v>11</v>
      </c>
      <c r="B136" s="256" t="s">
        <v>740</v>
      </c>
      <c r="C136" s="458"/>
      <c r="D136" s="269" t="s">
        <v>1075</v>
      </c>
      <c r="E136" s="256" t="s">
        <v>151</v>
      </c>
      <c r="F136" s="155" t="str">
        <f>_xlfn.XLOOKUP(B136,STUDIES!$A$3:$A$1063,STUDIES!$G$3:$G$1063,"Not Found!")</f>
        <v>A</v>
      </c>
      <c r="G136" s="257" t="s">
        <v>147</v>
      </c>
      <c r="H136" s="299">
        <v>16</v>
      </c>
      <c r="I136" s="299">
        <v>27</v>
      </c>
      <c r="J136" s="300"/>
      <c r="K136" s="259">
        <v>18.600000000000001</v>
      </c>
      <c r="L136" s="259"/>
      <c r="M136" s="259">
        <v>10.1</v>
      </c>
      <c r="N136" s="259"/>
      <c r="O136" s="259"/>
      <c r="P136" s="259"/>
      <c r="Q136" s="271" t="s">
        <v>150</v>
      </c>
      <c r="R136" s="264"/>
      <c r="S136" s="259"/>
      <c r="T136" s="259"/>
      <c r="U136" s="259"/>
      <c r="V136" s="259"/>
      <c r="W136" s="259"/>
      <c r="X136" s="262">
        <v>6.3</v>
      </c>
      <c r="Y136" s="259"/>
      <c r="Z136" s="263">
        <v>4.5999999999999996</v>
      </c>
      <c r="AA136" s="263"/>
      <c r="AB136" s="263"/>
      <c r="AC136" s="263"/>
      <c r="AD136" s="264"/>
      <c r="AE136" s="259"/>
      <c r="AF136" s="259"/>
      <c r="AG136" s="259"/>
      <c r="AH136" s="259"/>
      <c r="AI136" s="259"/>
      <c r="AJ136" s="265"/>
      <c r="AK136" s="266"/>
      <c r="AL136" s="266"/>
      <c r="AM136" s="266"/>
      <c r="AN136" s="266"/>
      <c r="AO136" s="267"/>
      <c r="AP136" s="266"/>
      <c r="AQ136" s="266"/>
      <c r="AR136" s="266"/>
      <c r="AS136" s="266"/>
      <c r="AT136" s="266"/>
      <c r="AU136" s="267"/>
      <c r="AV136" s="268"/>
      <c r="AW136" s="268"/>
      <c r="AX136" s="268"/>
      <c r="AY136" s="268"/>
      <c r="AZ136" s="268"/>
      <c r="BA136" s="268"/>
      <c r="BB136" s="268"/>
      <c r="BC136" s="268"/>
      <c r="BD136" s="268"/>
      <c r="BE136" s="268"/>
      <c r="BF136" s="268"/>
      <c r="BG136" s="268"/>
      <c r="BH136" s="268"/>
      <c r="BI136" s="268"/>
      <c r="BJ136" s="268"/>
      <c r="BK136" s="268"/>
      <c r="BL136" s="268"/>
      <c r="BM136" s="268"/>
      <c r="BN136" s="268"/>
      <c r="BO136" s="268"/>
      <c r="BP136" s="268"/>
      <c r="BQ136" s="268"/>
      <c r="BR136" s="268"/>
      <c r="BS136" s="268"/>
      <c r="BT136" s="268"/>
      <c r="BU136" s="268"/>
      <c r="BV136" s="268"/>
      <c r="BW136" s="268"/>
      <c r="BX136" s="268"/>
      <c r="BY136" s="268"/>
      <c r="BZ136" s="268"/>
      <c r="CA136" s="268"/>
      <c r="CB136" s="268"/>
      <c r="CC136" s="268"/>
      <c r="CD136" s="268"/>
      <c r="CE136" s="268"/>
      <c r="CF136" s="268"/>
      <c r="CG136" s="268"/>
      <c r="CH136" s="268"/>
      <c r="CI136" s="268"/>
      <c r="CJ136" s="268"/>
      <c r="CK136" s="268"/>
      <c r="CL136" s="268"/>
      <c r="CM136" s="268"/>
      <c r="CN136" s="268"/>
      <c r="CO136" s="268"/>
      <c r="CP136" s="268"/>
      <c r="CQ136" s="268"/>
      <c r="CR136" s="268"/>
      <c r="CS136" s="268"/>
      <c r="CT136" s="268"/>
      <c r="CU136" s="268"/>
      <c r="CV136" s="268"/>
      <c r="CW136" s="268"/>
      <c r="CX136" s="268"/>
      <c r="CY136" s="268"/>
      <c r="CZ136" s="268"/>
      <c r="DA136" s="268"/>
      <c r="DB136" s="268"/>
      <c r="DC136" s="268"/>
      <c r="DD136" s="268"/>
      <c r="DE136" s="268"/>
      <c r="DF136" s="268"/>
      <c r="DG136" s="268"/>
      <c r="DH136" s="268"/>
      <c r="DI136" s="268"/>
      <c r="DJ136" s="268"/>
      <c r="DK136" s="268"/>
      <c r="DL136" s="268"/>
      <c r="DM136" s="268"/>
      <c r="DN136" s="268"/>
      <c r="DO136" s="268"/>
      <c r="DP136" s="268"/>
      <c r="DQ136" s="268"/>
      <c r="DR136" s="268"/>
      <c r="DS136" s="268"/>
      <c r="DT136" s="268"/>
      <c r="DU136" s="268"/>
      <c r="DV136" s="268"/>
      <c r="DW136" s="268"/>
      <c r="DX136" s="268"/>
      <c r="DY136" s="268"/>
      <c r="DZ136" s="268"/>
      <c r="EA136" s="268"/>
      <c r="EB136" s="268"/>
      <c r="EC136" s="268"/>
      <c r="ED136" s="268"/>
      <c r="EE136" s="268"/>
      <c r="EF136" s="268"/>
      <c r="EG136" s="268"/>
    </row>
    <row r="137" spans="1:137" s="283" customFormat="1" ht="18" customHeight="1" x14ac:dyDescent="0.35">
      <c r="A137" s="274">
        <f>MATCH(B137,STUDIES!$A$3:$A$502,0)</f>
        <v>11</v>
      </c>
      <c r="B137" s="256" t="s">
        <v>740</v>
      </c>
      <c r="C137" s="458"/>
      <c r="D137" s="269" t="s">
        <v>1075</v>
      </c>
      <c r="E137" s="256" t="s">
        <v>151</v>
      </c>
      <c r="F137" s="155" t="str">
        <f>_xlfn.XLOOKUP(B137,STUDIES!$A$3:$A$1063,STUDIES!$G$3:$G$1063,"Not Found!")</f>
        <v>A</v>
      </c>
      <c r="G137" s="257" t="s">
        <v>152</v>
      </c>
      <c r="H137" s="257">
        <v>24</v>
      </c>
      <c r="I137" s="257">
        <v>23</v>
      </c>
      <c r="J137" s="258"/>
      <c r="K137" s="259">
        <v>18.600000000000001</v>
      </c>
      <c r="L137" s="259"/>
      <c r="M137" s="259">
        <v>10.1</v>
      </c>
      <c r="N137" s="259"/>
      <c r="O137" s="259"/>
      <c r="P137" s="259"/>
      <c r="Q137" s="271" t="s">
        <v>150</v>
      </c>
      <c r="R137" s="264"/>
      <c r="S137" s="259"/>
      <c r="T137" s="259"/>
      <c r="U137" s="259"/>
      <c r="V137" s="259"/>
      <c r="W137" s="259"/>
      <c r="X137" s="264">
        <v>5</v>
      </c>
      <c r="Y137" s="259"/>
      <c r="Z137" s="259">
        <v>3.6</v>
      </c>
      <c r="AA137" s="259"/>
      <c r="AB137" s="259"/>
      <c r="AC137" s="259"/>
      <c r="AD137" s="264"/>
      <c r="AE137" s="259"/>
      <c r="AF137" s="259"/>
      <c r="AG137" s="259"/>
      <c r="AH137" s="259"/>
      <c r="AI137" s="259"/>
      <c r="AJ137" s="265"/>
      <c r="AK137" s="266"/>
      <c r="AL137" s="266"/>
      <c r="AM137" s="266"/>
      <c r="AN137" s="266"/>
      <c r="AO137" s="302"/>
      <c r="AP137" s="266"/>
      <c r="AQ137" s="266"/>
      <c r="AR137" s="266"/>
      <c r="AS137" s="266"/>
      <c r="AT137" s="266"/>
      <c r="AU137" s="267"/>
      <c r="AV137" s="268"/>
      <c r="AW137" s="268"/>
      <c r="AX137" s="268"/>
      <c r="AY137" s="268"/>
      <c r="AZ137" s="268"/>
      <c r="BA137" s="268"/>
      <c r="BB137" s="268"/>
      <c r="BC137" s="268"/>
      <c r="BD137" s="268"/>
      <c r="BE137" s="268"/>
      <c r="BF137" s="268"/>
      <c r="BG137" s="268"/>
      <c r="BH137" s="268"/>
      <c r="BI137" s="268"/>
      <c r="BJ137" s="268"/>
      <c r="BK137" s="268"/>
      <c r="BL137" s="268"/>
      <c r="BM137" s="268"/>
      <c r="BN137" s="268"/>
      <c r="BO137" s="268"/>
      <c r="BP137" s="268"/>
      <c r="BQ137" s="268"/>
      <c r="BR137" s="268"/>
      <c r="BS137" s="268"/>
      <c r="BT137" s="268"/>
      <c r="BU137" s="268"/>
      <c r="BV137" s="268"/>
      <c r="BW137" s="268"/>
      <c r="BX137" s="268"/>
      <c r="BY137" s="268"/>
      <c r="BZ137" s="268"/>
      <c r="CA137" s="268"/>
      <c r="CB137" s="268"/>
      <c r="CC137" s="268"/>
      <c r="CD137" s="268"/>
      <c r="CE137" s="268"/>
      <c r="CF137" s="268"/>
      <c r="CG137" s="268"/>
      <c r="CH137" s="268"/>
      <c r="CI137" s="268"/>
      <c r="CJ137" s="268"/>
      <c r="CK137" s="268"/>
      <c r="CL137" s="268"/>
      <c r="CM137" s="268"/>
      <c r="CN137" s="268"/>
      <c r="CO137" s="268"/>
      <c r="CP137" s="268"/>
      <c r="CQ137" s="268"/>
      <c r="CR137" s="268"/>
      <c r="CS137" s="268"/>
      <c r="CT137" s="268"/>
      <c r="CU137" s="268"/>
      <c r="CV137" s="268"/>
      <c r="CW137" s="268"/>
      <c r="CX137" s="268"/>
      <c r="CY137" s="268"/>
      <c r="CZ137" s="268"/>
      <c r="DA137" s="268"/>
      <c r="DB137" s="268"/>
      <c r="DC137" s="268"/>
      <c r="DD137" s="268"/>
      <c r="DE137" s="268"/>
      <c r="DF137" s="268"/>
      <c r="DG137" s="268"/>
      <c r="DH137" s="268"/>
      <c r="DI137" s="268"/>
      <c r="DJ137" s="268"/>
      <c r="DK137" s="268"/>
      <c r="DL137" s="268"/>
      <c r="DM137" s="268"/>
      <c r="DN137" s="268"/>
      <c r="DO137" s="268"/>
      <c r="DP137" s="268"/>
      <c r="DQ137" s="268"/>
      <c r="DR137" s="268"/>
      <c r="DS137" s="268"/>
      <c r="DT137" s="268"/>
      <c r="DU137" s="268"/>
      <c r="DV137" s="268"/>
      <c r="DW137" s="268"/>
      <c r="DX137" s="268"/>
      <c r="DY137" s="268"/>
      <c r="DZ137" s="268"/>
      <c r="EA137" s="268"/>
      <c r="EB137" s="268"/>
      <c r="EC137" s="268"/>
      <c r="ED137" s="268"/>
      <c r="EE137" s="268"/>
      <c r="EF137" s="268"/>
      <c r="EG137" s="268"/>
    </row>
    <row r="138" spans="1:137" s="283" customFormat="1" ht="18" customHeight="1" x14ac:dyDescent="0.35">
      <c r="A138" s="274">
        <f>MATCH(B138,STUDIES!$A$3:$A$502,0)</f>
        <v>11</v>
      </c>
      <c r="B138" s="272" t="s">
        <v>740</v>
      </c>
      <c r="C138" s="435"/>
      <c r="D138" s="269" t="s">
        <v>1075</v>
      </c>
      <c r="E138" s="272" t="s">
        <v>1163</v>
      </c>
      <c r="F138" s="155" t="str">
        <f>_xlfn.XLOOKUP(B138,STUDIES!$A$3:$A$1063,STUDIES!$G$3:$G$1063,"Not Found!")</f>
        <v>A</v>
      </c>
      <c r="G138" s="273" t="s">
        <v>152</v>
      </c>
      <c r="H138" s="273">
        <v>24</v>
      </c>
      <c r="I138" s="273">
        <v>50</v>
      </c>
      <c r="J138" s="274">
        <v>0</v>
      </c>
      <c r="K138" s="268"/>
      <c r="L138" s="268"/>
      <c r="M138" s="268"/>
      <c r="N138" s="268"/>
      <c r="O138" s="268"/>
      <c r="P138" s="268"/>
      <c r="Q138" s="275"/>
      <c r="R138" s="276"/>
      <c r="S138" s="268"/>
      <c r="T138" s="268"/>
      <c r="U138" s="268"/>
      <c r="V138" s="268"/>
      <c r="W138" s="268"/>
      <c r="X138" s="276"/>
      <c r="Y138" s="268"/>
      <c r="Z138" s="268"/>
      <c r="AA138" s="268"/>
      <c r="AB138" s="268"/>
      <c r="AC138" s="268"/>
      <c r="AD138" s="276"/>
      <c r="AE138" s="268"/>
      <c r="AF138" s="268"/>
      <c r="AG138" s="268"/>
      <c r="AH138" s="268"/>
      <c r="AI138" s="268"/>
      <c r="AJ138" s="276"/>
      <c r="AK138" s="268"/>
      <c r="AL138" s="268"/>
      <c r="AM138" s="268"/>
      <c r="AN138" s="268"/>
      <c r="AO138" s="282"/>
      <c r="AP138" s="268"/>
      <c r="AQ138" s="268"/>
      <c r="AR138" s="268"/>
      <c r="AS138" s="268"/>
      <c r="AT138" s="268"/>
      <c r="AU138" s="275"/>
      <c r="AV138" s="268"/>
      <c r="AW138" s="268"/>
      <c r="AX138" s="268"/>
      <c r="AY138" s="268"/>
      <c r="AZ138" s="268"/>
      <c r="BA138" s="268"/>
      <c r="BB138" s="268"/>
      <c r="BC138" s="268"/>
      <c r="BD138" s="268"/>
      <c r="BE138" s="268"/>
      <c r="BF138" s="268"/>
      <c r="BG138" s="268"/>
      <c r="BH138" s="268"/>
      <c r="BI138" s="268"/>
      <c r="BJ138" s="268"/>
      <c r="BK138" s="268"/>
      <c r="BL138" s="268"/>
      <c r="BM138" s="268"/>
      <c r="BN138" s="268"/>
      <c r="BO138" s="268"/>
      <c r="BP138" s="268"/>
      <c r="BQ138" s="268"/>
      <c r="BR138" s="268"/>
      <c r="BS138" s="268"/>
      <c r="BT138" s="268"/>
      <c r="BU138" s="268"/>
      <c r="BV138" s="268"/>
      <c r="BW138" s="268"/>
      <c r="BX138" s="268"/>
      <c r="BY138" s="268"/>
      <c r="BZ138" s="268"/>
      <c r="CA138" s="268"/>
      <c r="CB138" s="268"/>
      <c r="CC138" s="268"/>
      <c r="CD138" s="268"/>
      <c r="CE138" s="268"/>
      <c r="CF138" s="268"/>
      <c r="CG138" s="268"/>
      <c r="CH138" s="268"/>
      <c r="CI138" s="268"/>
      <c r="CJ138" s="268"/>
      <c r="CK138" s="268"/>
      <c r="CL138" s="268"/>
      <c r="CM138" s="268"/>
      <c r="CN138" s="268"/>
      <c r="CO138" s="268"/>
      <c r="CP138" s="268"/>
      <c r="CQ138" s="268"/>
      <c r="CR138" s="268"/>
      <c r="CS138" s="268"/>
      <c r="CT138" s="268"/>
      <c r="CU138" s="268"/>
      <c r="CV138" s="268"/>
      <c r="CW138" s="268"/>
      <c r="CX138" s="268"/>
      <c r="CY138" s="268"/>
      <c r="CZ138" s="268"/>
      <c r="DA138" s="268"/>
      <c r="DB138" s="268"/>
      <c r="DC138" s="268"/>
      <c r="DD138" s="268"/>
      <c r="DE138" s="268"/>
      <c r="DF138" s="268"/>
      <c r="DG138" s="268"/>
      <c r="DH138" s="268"/>
      <c r="DI138" s="268"/>
      <c r="DJ138" s="268"/>
      <c r="DK138" s="268"/>
      <c r="DL138" s="268"/>
      <c r="DM138" s="268"/>
      <c r="DN138" s="268"/>
      <c r="DO138" s="268"/>
      <c r="DP138" s="268"/>
      <c r="DQ138" s="268"/>
      <c r="DR138" s="268"/>
      <c r="DS138" s="268"/>
      <c r="DT138" s="268"/>
      <c r="DU138" s="268"/>
      <c r="DV138" s="268"/>
      <c r="DW138" s="268"/>
      <c r="DX138" s="268"/>
      <c r="DY138" s="268"/>
      <c r="DZ138" s="268"/>
      <c r="EA138" s="268"/>
      <c r="EB138" s="268"/>
      <c r="EC138" s="268"/>
      <c r="ED138" s="268"/>
      <c r="EE138" s="268"/>
      <c r="EF138" s="268"/>
      <c r="EG138" s="268"/>
    </row>
    <row r="139" spans="1:137" s="283" customFormat="1" ht="18" customHeight="1" x14ac:dyDescent="0.35">
      <c r="A139" s="274">
        <f>MATCH(B139,STUDIES!$A$3:$A$502,0)</f>
        <v>11</v>
      </c>
      <c r="B139" s="272" t="s">
        <v>740</v>
      </c>
      <c r="C139" s="435"/>
      <c r="D139" s="281" t="s">
        <v>1075</v>
      </c>
      <c r="E139" s="272" t="s">
        <v>1167</v>
      </c>
      <c r="F139" s="155" t="str">
        <f>_xlfn.XLOOKUP(B139,STUDIES!$A$3:$A$1063,STUDIES!$G$3:$G$1063,"Not Found!")</f>
        <v>A</v>
      </c>
      <c r="G139" s="273" t="s">
        <v>152</v>
      </c>
      <c r="H139" s="273">
        <v>24</v>
      </c>
      <c r="I139" s="273">
        <v>50</v>
      </c>
      <c r="J139" s="274">
        <v>6</v>
      </c>
      <c r="K139" s="268"/>
      <c r="L139" s="268"/>
      <c r="M139" s="268"/>
      <c r="N139" s="268"/>
      <c r="O139" s="268"/>
      <c r="P139" s="268"/>
      <c r="Q139" s="275"/>
      <c r="R139" s="276"/>
      <c r="S139" s="268"/>
      <c r="T139" s="268"/>
      <c r="U139" s="268"/>
      <c r="V139" s="268"/>
      <c r="W139" s="268"/>
      <c r="X139" s="276"/>
      <c r="Y139" s="268"/>
      <c r="Z139" s="268"/>
      <c r="AA139" s="268"/>
      <c r="AB139" s="268"/>
      <c r="AC139" s="268"/>
      <c r="AD139" s="276"/>
      <c r="AE139" s="268"/>
      <c r="AF139" s="268"/>
      <c r="AG139" s="268"/>
      <c r="AH139" s="268"/>
      <c r="AI139" s="268"/>
      <c r="AJ139" s="276"/>
      <c r="AK139" s="268"/>
      <c r="AL139" s="268"/>
      <c r="AM139" s="268"/>
      <c r="AN139" s="268"/>
      <c r="AO139" s="282"/>
      <c r="AP139" s="268"/>
      <c r="AQ139" s="268"/>
      <c r="AR139" s="268"/>
      <c r="AS139" s="268"/>
      <c r="AT139" s="268"/>
      <c r="AU139" s="275"/>
      <c r="AV139" s="268"/>
      <c r="AW139" s="268"/>
      <c r="AX139" s="268"/>
      <c r="AY139" s="268"/>
      <c r="AZ139" s="268"/>
      <c r="BA139" s="268"/>
      <c r="BB139" s="268"/>
      <c r="BC139" s="268"/>
      <c r="BD139" s="268"/>
      <c r="BE139" s="268"/>
      <c r="BF139" s="268"/>
      <c r="BG139" s="268"/>
      <c r="BH139" s="268"/>
      <c r="BI139" s="268"/>
      <c r="BJ139" s="268"/>
      <c r="BK139" s="268"/>
      <c r="BL139" s="268"/>
      <c r="BM139" s="268"/>
      <c r="BN139" s="268"/>
      <c r="BO139" s="268"/>
      <c r="BP139" s="268"/>
      <c r="BQ139" s="268"/>
      <c r="BR139" s="268"/>
      <c r="BS139" s="268"/>
      <c r="BT139" s="268"/>
      <c r="BU139" s="268"/>
      <c r="BV139" s="268"/>
      <c r="BW139" s="268"/>
      <c r="BX139" s="268"/>
      <c r="BY139" s="268"/>
      <c r="BZ139" s="268"/>
      <c r="CA139" s="268"/>
      <c r="CB139" s="268"/>
      <c r="CC139" s="268"/>
      <c r="CD139" s="268"/>
      <c r="CE139" s="268"/>
      <c r="CF139" s="268"/>
      <c r="CG139" s="268"/>
      <c r="CH139" s="268"/>
      <c r="CI139" s="268"/>
      <c r="CJ139" s="268"/>
      <c r="CK139" s="268"/>
      <c r="CL139" s="268"/>
      <c r="CM139" s="268"/>
      <c r="CN139" s="268"/>
      <c r="CO139" s="268"/>
      <c r="CP139" s="268"/>
      <c r="CQ139" s="268"/>
      <c r="CR139" s="268"/>
      <c r="CS139" s="268"/>
      <c r="CT139" s="268"/>
      <c r="CU139" s="268"/>
      <c r="CV139" s="268"/>
      <c r="CW139" s="268"/>
      <c r="CX139" s="268"/>
      <c r="CY139" s="268"/>
      <c r="CZ139" s="268"/>
      <c r="DA139" s="268"/>
      <c r="DB139" s="268"/>
      <c r="DC139" s="268"/>
      <c r="DD139" s="268"/>
      <c r="DE139" s="268"/>
      <c r="DF139" s="268"/>
      <c r="DG139" s="268"/>
      <c r="DH139" s="268"/>
      <c r="DI139" s="268"/>
      <c r="DJ139" s="268"/>
      <c r="DK139" s="268"/>
      <c r="DL139" s="268"/>
      <c r="DM139" s="268"/>
      <c r="DN139" s="268"/>
      <c r="DO139" s="268"/>
      <c r="DP139" s="268"/>
      <c r="DQ139" s="268"/>
      <c r="DR139" s="268"/>
      <c r="DS139" s="268"/>
      <c r="DT139" s="268"/>
      <c r="DU139" s="268"/>
      <c r="DV139" s="268"/>
      <c r="DW139" s="268"/>
      <c r="DX139" s="268"/>
      <c r="DY139" s="268"/>
      <c r="DZ139" s="268"/>
      <c r="EA139" s="268"/>
      <c r="EB139" s="268"/>
      <c r="EC139" s="268"/>
      <c r="ED139" s="268"/>
      <c r="EE139" s="268"/>
      <c r="EF139" s="268"/>
      <c r="EG139" s="268"/>
    </row>
    <row r="140" spans="1:137" s="283" customFormat="1" ht="18" customHeight="1" x14ac:dyDescent="0.35">
      <c r="A140" s="274">
        <f>MATCH(B140,STUDIES!$A$3:$A$502,0)</f>
        <v>12</v>
      </c>
      <c r="B140" s="270" t="s">
        <v>174</v>
      </c>
      <c r="C140" s="459"/>
      <c r="D140" s="269" t="s">
        <v>1047</v>
      </c>
      <c r="E140" s="270" t="s">
        <v>181</v>
      </c>
      <c r="F140" s="155" t="str">
        <f>_xlfn.XLOOKUP(B140,STUDIES!$A$3:$A$1063,STUDIES!$G$3:$G$1063,"Not Found!")</f>
        <v>A</v>
      </c>
      <c r="G140" s="257" t="s">
        <v>147</v>
      </c>
      <c r="H140" s="257">
        <v>8</v>
      </c>
      <c r="I140" s="257">
        <v>32</v>
      </c>
      <c r="J140" s="258"/>
      <c r="K140" s="259"/>
      <c r="L140" s="259"/>
      <c r="M140" s="259"/>
      <c r="N140" s="259"/>
      <c r="O140" s="259"/>
      <c r="P140" s="259"/>
      <c r="Q140" s="271" t="s">
        <v>90</v>
      </c>
      <c r="R140" s="264">
        <v>-17</v>
      </c>
      <c r="S140" s="259"/>
      <c r="T140" s="260">
        <v>11</v>
      </c>
      <c r="U140" s="260"/>
      <c r="V140" s="260"/>
      <c r="W140" s="260"/>
      <c r="X140" s="264"/>
      <c r="Y140" s="259"/>
      <c r="Z140" s="259"/>
      <c r="AA140" s="259"/>
      <c r="AB140" s="259"/>
      <c r="AC140" s="259"/>
      <c r="AD140" s="264"/>
      <c r="AE140" s="259"/>
      <c r="AF140" s="259"/>
      <c r="AG140" s="259"/>
      <c r="AH140" s="259"/>
      <c r="AI140" s="259"/>
      <c r="AJ140" s="265"/>
      <c r="AK140" s="266"/>
      <c r="AL140" s="266"/>
      <c r="AM140" s="266"/>
      <c r="AN140" s="266"/>
      <c r="AO140" s="302"/>
      <c r="AP140" s="266"/>
      <c r="AQ140" s="266"/>
      <c r="AR140" s="266"/>
      <c r="AS140" s="266"/>
      <c r="AT140" s="266"/>
      <c r="AU140" s="267"/>
      <c r="AV140" s="268"/>
      <c r="AW140" s="268"/>
      <c r="AX140" s="268"/>
      <c r="AY140" s="268"/>
      <c r="AZ140" s="268"/>
      <c r="BA140" s="268"/>
      <c r="BB140" s="268"/>
      <c r="BC140" s="268"/>
      <c r="BD140" s="268"/>
      <c r="BE140" s="268"/>
      <c r="BF140" s="268"/>
      <c r="BG140" s="268"/>
      <c r="BH140" s="268"/>
      <c r="BI140" s="268"/>
      <c r="BJ140" s="268"/>
      <c r="BK140" s="268"/>
      <c r="BL140" s="268"/>
      <c r="BM140" s="268"/>
      <c r="BN140" s="268"/>
      <c r="BO140" s="268"/>
      <c r="BP140" s="268"/>
      <c r="BQ140" s="268"/>
      <c r="BR140" s="268"/>
      <c r="BS140" s="268"/>
      <c r="BT140" s="268"/>
      <c r="BU140" s="268"/>
      <c r="BV140" s="268"/>
      <c r="BW140" s="268"/>
      <c r="BX140" s="268"/>
      <c r="BY140" s="268"/>
      <c r="BZ140" s="268"/>
      <c r="CA140" s="268"/>
      <c r="CB140" s="268"/>
      <c r="CC140" s="268"/>
      <c r="CD140" s="268"/>
      <c r="CE140" s="268"/>
      <c r="CF140" s="268"/>
      <c r="CG140" s="268"/>
      <c r="CH140" s="268"/>
      <c r="CI140" s="268"/>
      <c r="CJ140" s="268"/>
      <c r="CK140" s="268"/>
      <c r="CL140" s="268"/>
      <c r="CM140" s="268"/>
      <c r="CN140" s="268"/>
      <c r="CO140" s="268"/>
      <c r="CP140" s="268"/>
      <c r="CQ140" s="268"/>
      <c r="CR140" s="268"/>
      <c r="CS140" s="268"/>
      <c r="CT140" s="268"/>
      <c r="CU140" s="268"/>
      <c r="CV140" s="268"/>
      <c r="CW140" s="268"/>
      <c r="CX140" s="268"/>
      <c r="CY140" s="268"/>
      <c r="CZ140" s="268"/>
      <c r="DA140" s="268"/>
      <c r="DB140" s="268"/>
      <c r="DC140" s="268"/>
      <c r="DD140" s="268"/>
      <c r="DE140" s="268"/>
      <c r="DF140" s="268"/>
      <c r="DG140" s="268"/>
      <c r="DH140" s="268"/>
      <c r="DI140" s="268"/>
      <c r="DJ140" s="268"/>
      <c r="DK140" s="268"/>
      <c r="DL140" s="268"/>
      <c r="DM140" s="268"/>
      <c r="DN140" s="268"/>
      <c r="DO140" s="268"/>
      <c r="DP140" s="268"/>
      <c r="DQ140" s="268"/>
      <c r="DR140" s="268"/>
      <c r="DS140" s="268"/>
      <c r="DT140" s="268"/>
      <c r="DU140" s="268"/>
      <c r="DV140" s="268"/>
      <c r="DW140" s="268"/>
      <c r="DX140" s="268"/>
      <c r="DY140" s="268"/>
      <c r="DZ140" s="268"/>
      <c r="EA140" s="268"/>
      <c r="EB140" s="268"/>
      <c r="EC140" s="268"/>
      <c r="ED140" s="268"/>
      <c r="EE140" s="268"/>
      <c r="EF140" s="268"/>
      <c r="EG140" s="268"/>
    </row>
    <row r="141" spans="1:137" s="283" customFormat="1" ht="18" customHeight="1" x14ac:dyDescent="0.35">
      <c r="A141" s="274">
        <f>MATCH(B141,STUDIES!$A$3:$A$502,0)</f>
        <v>12</v>
      </c>
      <c r="B141" s="272" t="s">
        <v>174</v>
      </c>
      <c r="C141" s="435"/>
      <c r="D141" s="269" t="s">
        <v>1047</v>
      </c>
      <c r="E141" s="272" t="s">
        <v>1163</v>
      </c>
      <c r="F141" s="155" t="str">
        <f>_xlfn.XLOOKUP(B141,STUDIES!$A$3:$A$1063,STUDIES!$G$3:$G$1063,"Not Found!")</f>
        <v>A</v>
      </c>
      <c r="G141" s="273" t="s">
        <v>147</v>
      </c>
      <c r="H141" s="273">
        <v>8</v>
      </c>
      <c r="I141" s="273">
        <v>36</v>
      </c>
      <c r="J141" s="274">
        <v>0</v>
      </c>
      <c r="K141" s="268"/>
      <c r="L141" s="268"/>
      <c r="M141" s="268"/>
      <c r="N141" s="268"/>
      <c r="O141" s="268"/>
      <c r="P141" s="268"/>
      <c r="Q141" s="275"/>
      <c r="R141" s="276"/>
      <c r="S141" s="268"/>
      <c r="T141" s="268"/>
      <c r="U141" s="268"/>
      <c r="V141" s="268"/>
      <c r="W141" s="268"/>
      <c r="X141" s="276"/>
      <c r="Y141" s="268"/>
      <c r="Z141" s="268"/>
      <c r="AA141" s="268"/>
      <c r="AB141" s="268"/>
      <c r="AC141" s="268"/>
      <c r="AD141" s="276"/>
      <c r="AE141" s="268"/>
      <c r="AF141" s="268"/>
      <c r="AG141" s="268"/>
      <c r="AH141" s="268"/>
      <c r="AI141" s="268"/>
      <c r="AJ141" s="276"/>
      <c r="AK141" s="268"/>
      <c r="AL141" s="268"/>
      <c r="AM141" s="268"/>
      <c r="AN141" s="268"/>
      <c r="AO141" s="282"/>
      <c r="AP141" s="268"/>
      <c r="AQ141" s="268"/>
      <c r="AR141" s="268"/>
      <c r="AS141" s="268"/>
      <c r="AT141" s="268"/>
      <c r="AU141" s="275"/>
      <c r="AV141" s="268"/>
      <c r="AW141" s="268"/>
      <c r="AX141" s="268"/>
      <c r="AY141" s="268"/>
      <c r="AZ141" s="268"/>
      <c r="BA141" s="268"/>
      <c r="BB141" s="268"/>
      <c r="BC141" s="268"/>
      <c r="BD141" s="268"/>
      <c r="BE141" s="268"/>
      <c r="BF141" s="268"/>
      <c r="BG141" s="268"/>
      <c r="BH141" s="268"/>
      <c r="BI141" s="268"/>
      <c r="BJ141" s="268"/>
      <c r="BK141" s="268"/>
      <c r="BL141" s="268"/>
      <c r="BM141" s="268"/>
      <c r="BN141" s="268"/>
      <c r="BO141" s="268"/>
      <c r="BP141" s="268"/>
      <c r="BQ141" s="268"/>
      <c r="BR141" s="268"/>
      <c r="BS141" s="268"/>
      <c r="BT141" s="268"/>
      <c r="BU141" s="268"/>
      <c r="BV141" s="268"/>
      <c r="BW141" s="268"/>
      <c r="BX141" s="268"/>
      <c r="BY141" s="268"/>
      <c r="BZ141" s="268"/>
      <c r="CA141" s="268"/>
      <c r="CB141" s="268"/>
      <c r="CC141" s="268"/>
      <c r="CD141" s="268"/>
      <c r="CE141" s="268"/>
      <c r="CF141" s="268"/>
      <c r="CG141" s="268"/>
      <c r="CH141" s="268"/>
      <c r="CI141" s="268"/>
      <c r="CJ141" s="268"/>
      <c r="CK141" s="268"/>
      <c r="CL141" s="268"/>
      <c r="CM141" s="268"/>
      <c r="CN141" s="268"/>
      <c r="CO141" s="268"/>
      <c r="CP141" s="268"/>
      <c r="CQ141" s="268"/>
      <c r="CR141" s="268"/>
      <c r="CS141" s="268"/>
      <c r="CT141" s="268"/>
      <c r="CU141" s="268"/>
      <c r="CV141" s="268"/>
      <c r="CW141" s="268"/>
      <c r="CX141" s="268"/>
      <c r="CY141" s="268"/>
      <c r="CZ141" s="268"/>
      <c r="DA141" s="268"/>
      <c r="DB141" s="268"/>
      <c r="DC141" s="268"/>
      <c r="DD141" s="268"/>
      <c r="DE141" s="268"/>
      <c r="DF141" s="268"/>
      <c r="DG141" s="268"/>
      <c r="DH141" s="268"/>
      <c r="DI141" s="268"/>
      <c r="DJ141" s="268"/>
      <c r="DK141" s="268"/>
      <c r="DL141" s="268"/>
      <c r="DM141" s="268"/>
      <c r="DN141" s="268"/>
      <c r="DO141" s="268"/>
      <c r="DP141" s="268"/>
      <c r="DQ141" s="268"/>
      <c r="DR141" s="268"/>
      <c r="DS141" s="268"/>
      <c r="DT141" s="268"/>
      <c r="DU141" s="268"/>
      <c r="DV141" s="268"/>
      <c r="DW141" s="268"/>
      <c r="DX141" s="268"/>
      <c r="DY141" s="268"/>
      <c r="DZ141" s="268"/>
      <c r="EA141" s="268"/>
      <c r="EB141" s="268"/>
      <c r="EC141" s="268"/>
      <c r="ED141" s="268"/>
      <c r="EE141" s="268"/>
      <c r="EF141" s="268"/>
      <c r="EG141" s="268"/>
    </row>
    <row r="142" spans="1:137" s="283" customFormat="1" ht="18" customHeight="1" x14ac:dyDescent="0.35">
      <c r="A142" s="274">
        <f>MATCH(B142,STUDIES!$A$3:$A$502,0)</f>
        <v>12</v>
      </c>
      <c r="B142" s="272" t="s">
        <v>174</v>
      </c>
      <c r="C142" s="435"/>
      <c r="D142" s="281" t="s">
        <v>1047</v>
      </c>
      <c r="E142" s="272" t="s">
        <v>1167</v>
      </c>
      <c r="F142" s="155" t="str">
        <f>_xlfn.XLOOKUP(B142,STUDIES!$A$3:$A$1063,STUDIES!$G$3:$G$1063,"Not Found!")</f>
        <v>A</v>
      </c>
      <c r="G142" s="273" t="s">
        <v>147</v>
      </c>
      <c r="H142" s="273">
        <v>8</v>
      </c>
      <c r="I142" s="273">
        <v>36</v>
      </c>
      <c r="J142" s="274">
        <v>1</v>
      </c>
      <c r="K142" s="268"/>
      <c r="L142" s="268"/>
      <c r="M142" s="268"/>
      <c r="N142" s="268"/>
      <c r="O142" s="268"/>
      <c r="P142" s="268"/>
      <c r="Q142" s="275"/>
      <c r="R142" s="276"/>
      <c r="S142" s="268"/>
      <c r="T142" s="268"/>
      <c r="U142" s="268"/>
      <c r="V142" s="268"/>
      <c r="W142" s="268"/>
      <c r="X142" s="276"/>
      <c r="Y142" s="268"/>
      <c r="Z142" s="268"/>
      <c r="AA142" s="268"/>
      <c r="AB142" s="268"/>
      <c r="AC142" s="268"/>
      <c r="AD142" s="276"/>
      <c r="AE142" s="268"/>
      <c r="AF142" s="268"/>
      <c r="AG142" s="268"/>
      <c r="AH142" s="268"/>
      <c r="AI142" s="268"/>
      <c r="AJ142" s="276"/>
      <c r="AK142" s="268"/>
      <c r="AL142" s="268"/>
      <c r="AM142" s="268"/>
      <c r="AN142" s="268"/>
      <c r="AO142" s="282"/>
      <c r="AP142" s="268"/>
      <c r="AQ142" s="268"/>
      <c r="AR142" s="268"/>
      <c r="AS142" s="268"/>
      <c r="AT142" s="268"/>
      <c r="AU142" s="275"/>
      <c r="AV142" s="268"/>
      <c r="AW142" s="268"/>
      <c r="AX142" s="268"/>
      <c r="AY142" s="268"/>
      <c r="AZ142" s="268"/>
      <c r="BA142" s="268"/>
      <c r="BB142" s="268"/>
      <c r="BC142" s="268"/>
      <c r="BD142" s="268"/>
      <c r="BE142" s="268"/>
      <c r="BF142" s="268"/>
      <c r="BG142" s="268"/>
      <c r="BH142" s="268"/>
      <c r="BI142" s="268"/>
      <c r="BJ142" s="268"/>
      <c r="BK142" s="268"/>
      <c r="BL142" s="268"/>
      <c r="BM142" s="268"/>
      <c r="BN142" s="268"/>
      <c r="BO142" s="268"/>
      <c r="BP142" s="268"/>
      <c r="BQ142" s="268"/>
      <c r="BR142" s="268"/>
      <c r="BS142" s="268"/>
      <c r="BT142" s="268"/>
      <c r="BU142" s="268"/>
      <c r="BV142" s="268"/>
      <c r="BW142" s="268"/>
      <c r="BX142" s="268"/>
      <c r="BY142" s="268"/>
      <c r="BZ142" s="268"/>
      <c r="CA142" s="268"/>
      <c r="CB142" s="268"/>
      <c r="CC142" s="268"/>
      <c r="CD142" s="268"/>
      <c r="CE142" s="268"/>
      <c r="CF142" s="268"/>
      <c r="CG142" s="268"/>
      <c r="CH142" s="268"/>
      <c r="CI142" s="268"/>
      <c r="CJ142" s="268"/>
      <c r="CK142" s="268"/>
      <c r="CL142" s="268"/>
      <c r="CM142" s="268"/>
      <c r="CN142" s="268"/>
      <c r="CO142" s="268"/>
      <c r="CP142" s="268"/>
      <c r="CQ142" s="268"/>
      <c r="CR142" s="268"/>
      <c r="CS142" s="268"/>
      <c r="CT142" s="268"/>
      <c r="CU142" s="268"/>
      <c r="CV142" s="268"/>
      <c r="CW142" s="268"/>
      <c r="CX142" s="268"/>
      <c r="CY142" s="268"/>
      <c r="CZ142" s="268"/>
      <c r="DA142" s="268"/>
      <c r="DB142" s="268"/>
      <c r="DC142" s="268"/>
      <c r="DD142" s="268"/>
      <c r="DE142" s="268"/>
      <c r="DF142" s="268"/>
      <c r="DG142" s="268"/>
      <c r="DH142" s="268"/>
      <c r="DI142" s="268"/>
      <c r="DJ142" s="268"/>
      <c r="DK142" s="268"/>
      <c r="DL142" s="268"/>
      <c r="DM142" s="268"/>
      <c r="DN142" s="268"/>
      <c r="DO142" s="268"/>
      <c r="DP142" s="268"/>
      <c r="DQ142" s="268"/>
      <c r="DR142" s="268"/>
      <c r="DS142" s="268"/>
      <c r="DT142" s="268"/>
      <c r="DU142" s="268"/>
      <c r="DV142" s="268"/>
      <c r="DW142" s="268"/>
      <c r="DX142" s="268"/>
      <c r="DY142" s="268"/>
      <c r="DZ142" s="268"/>
      <c r="EA142" s="268"/>
      <c r="EB142" s="268"/>
      <c r="EC142" s="268"/>
      <c r="ED142" s="268"/>
      <c r="EE142" s="268"/>
      <c r="EF142" s="268"/>
      <c r="EG142" s="268"/>
    </row>
    <row r="143" spans="1:137" s="283" customFormat="1" ht="18" customHeight="1" x14ac:dyDescent="0.35">
      <c r="A143" s="274">
        <f>MATCH(B143,STUDIES!$A$3:$A$502,0)</f>
        <v>12</v>
      </c>
      <c r="B143" s="270" t="s">
        <v>174</v>
      </c>
      <c r="C143" s="459"/>
      <c r="D143" s="269" t="s">
        <v>1104</v>
      </c>
      <c r="E143" s="270" t="s">
        <v>181</v>
      </c>
      <c r="F143" s="155" t="str">
        <f>_xlfn.XLOOKUP(B143,STUDIES!$A$3:$A$1063,STUDIES!$G$3:$G$1063,"Not Found!")</f>
        <v>A</v>
      </c>
      <c r="G143" s="257" t="s">
        <v>147</v>
      </c>
      <c r="H143" s="257">
        <v>8</v>
      </c>
      <c r="I143" s="257">
        <v>27</v>
      </c>
      <c r="J143" s="258"/>
      <c r="K143" s="259"/>
      <c r="L143" s="259"/>
      <c r="M143" s="259"/>
      <c r="N143" s="259"/>
      <c r="O143" s="259"/>
      <c r="P143" s="259"/>
      <c r="Q143" s="271" t="s">
        <v>90</v>
      </c>
      <c r="R143" s="264">
        <v>-12</v>
      </c>
      <c r="S143" s="259"/>
      <c r="T143" s="260">
        <v>13</v>
      </c>
      <c r="U143" s="260"/>
      <c r="V143" s="260"/>
      <c r="W143" s="260"/>
      <c r="X143" s="264"/>
      <c r="Y143" s="259"/>
      <c r="Z143" s="259"/>
      <c r="AA143" s="259"/>
      <c r="AB143" s="259"/>
      <c r="AC143" s="259"/>
      <c r="AD143" s="264"/>
      <c r="AE143" s="259"/>
      <c r="AF143" s="259"/>
      <c r="AG143" s="259"/>
      <c r="AH143" s="259"/>
      <c r="AI143" s="259"/>
      <c r="AJ143" s="265"/>
      <c r="AK143" s="266"/>
      <c r="AL143" s="266"/>
      <c r="AM143" s="266"/>
      <c r="AN143" s="266"/>
      <c r="AO143" s="302"/>
      <c r="AP143" s="266"/>
      <c r="AQ143" s="266"/>
      <c r="AR143" s="266"/>
      <c r="AS143" s="266"/>
      <c r="AT143" s="266"/>
      <c r="AU143" s="267"/>
      <c r="AV143" s="268"/>
      <c r="AW143" s="268"/>
      <c r="AX143" s="268"/>
      <c r="AY143" s="268"/>
      <c r="AZ143" s="268"/>
      <c r="BA143" s="268"/>
      <c r="BB143" s="268"/>
      <c r="BC143" s="268"/>
      <c r="BD143" s="268"/>
      <c r="BE143" s="268"/>
      <c r="BF143" s="268"/>
      <c r="BG143" s="268"/>
      <c r="BH143" s="268"/>
      <c r="BI143" s="268"/>
      <c r="BJ143" s="268"/>
      <c r="BK143" s="268"/>
      <c r="BL143" s="268"/>
      <c r="BM143" s="268"/>
      <c r="BN143" s="268"/>
      <c r="BO143" s="268"/>
      <c r="BP143" s="268"/>
      <c r="BQ143" s="268"/>
      <c r="BR143" s="268"/>
      <c r="BS143" s="268"/>
      <c r="BT143" s="268"/>
      <c r="BU143" s="268"/>
      <c r="BV143" s="268"/>
      <c r="BW143" s="268"/>
      <c r="BX143" s="268"/>
      <c r="BY143" s="268"/>
      <c r="BZ143" s="268"/>
      <c r="CA143" s="268"/>
      <c r="CB143" s="268"/>
      <c r="CC143" s="268"/>
      <c r="CD143" s="268"/>
      <c r="CE143" s="268"/>
      <c r="CF143" s="268"/>
      <c r="CG143" s="268"/>
      <c r="CH143" s="268"/>
      <c r="CI143" s="268"/>
      <c r="CJ143" s="268"/>
      <c r="CK143" s="268"/>
      <c r="CL143" s="268"/>
      <c r="CM143" s="268"/>
      <c r="CN143" s="268"/>
      <c r="CO143" s="268"/>
      <c r="CP143" s="268"/>
      <c r="CQ143" s="268"/>
      <c r="CR143" s="268"/>
      <c r="CS143" s="268"/>
      <c r="CT143" s="268"/>
      <c r="CU143" s="268"/>
      <c r="CV143" s="268"/>
      <c r="CW143" s="268"/>
      <c r="CX143" s="268"/>
      <c r="CY143" s="268"/>
      <c r="CZ143" s="268"/>
      <c r="DA143" s="268"/>
      <c r="DB143" s="268"/>
      <c r="DC143" s="268"/>
      <c r="DD143" s="268"/>
      <c r="DE143" s="268"/>
      <c r="DF143" s="268"/>
      <c r="DG143" s="268"/>
      <c r="DH143" s="268"/>
      <c r="DI143" s="268"/>
      <c r="DJ143" s="268"/>
      <c r="DK143" s="268"/>
      <c r="DL143" s="268"/>
      <c r="DM143" s="268"/>
      <c r="DN143" s="268"/>
      <c r="DO143" s="268"/>
      <c r="DP143" s="268"/>
      <c r="DQ143" s="268"/>
      <c r="DR143" s="268"/>
      <c r="DS143" s="268"/>
      <c r="DT143" s="268"/>
      <c r="DU143" s="268"/>
      <c r="DV143" s="268"/>
      <c r="DW143" s="268"/>
      <c r="DX143" s="268"/>
      <c r="DY143" s="268"/>
      <c r="DZ143" s="268"/>
      <c r="EA143" s="268"/>
      <c r="EB143" s="268"/>
      <c r="EC143" s="268"/>
      <c r="ED143" s="268"/>
      <c r="EE143" s="268"/>
      <c r="EF143" s="268"/>
      <c r="EG143" s="268"/>
    </row>
    <row r="144" spans="1:137" s="283" customFormat="1" ht="18" customHeight="1" x14ac:dyDescent="0.35">
      <c r="A144" s="274">
        <f>MATCH(B144,STUDIES!$A$3:$A$502,0)</f>
        <v>12</v>
      </c>
      <c r="B144" s="272" t="s">
        <v>174</v>
      </c>
      <c r="C144" s="435"/>
      <c r="D144" s="281" t="s">
        <v>1104</v>
      </c>
      <c r="E144" s="272" t="s">
        <v>1163</v>
      </c>
      <c r="F144" s="155" t="str">
        <f>_xlfn.XLOOKUP(B144,STUDIES!$A$3:$A$1063,STUDIES!$G$3:$G$1063,"Not Found!")</f>
        <v>A</v>
      </c>
      <c r="G144" s="273" t="s">
        <v>147</v>
      </c>
      <c r="H144" s="273">
        <v>8</v>
      </c>
      <c r="I144" s="273">
        <v>36</v>
      </c>
      <c r="J144" s="274">
        <v>0</v>
      </c>
      <c r="K144" s="268"/>
      <c r="L144" s="268"/>
      <c r="M144" s="268"/>
      <c r="N144" s="268"/>
      <c r="O144" s="268"/>
      <c r="P144" s="268"/>
      <c r="Q144" s="275"/>
      <c r="R144" s="276"/>
      <c r="S144" s="268"/>
      <c r="T144" s="268"/>
      <c r="U144" s="268"/>
      <c r="V144" s="268"/>
      <c r="W144" s="268"/>
      <c r="X144" s="276"/>
      <c r="Y144" s="268"/>
      <c r="Z144" s="268"/>
      <c r="AA144" s="268"/>
      <c r="AB144" s="268"/>
      <c r="AC144" s="268"/>
      <c r="AD144" s="276"/>
      <c r="AE144" s="268"/>
      <c r="AF144" s="268"/>
      <c r="AG144" s="268"/>
      <c r="AH144" s="268"/>
      <c r="AI144" s="268"/>
      <c r="AJ144" s="276"/>
      <c r="AK144" s="268"/>
      <c r="AL144" s="268"/>
      <c r="AM144" s="268"/>
      <c r="AN144" s="268"/>
      <c r="AO144" s="282"/>
      <c r="AP144" s="268"/>
      <c r="AQ144" s="268"/>
      <c r="AR144" s="268"/>
      <c r="AS144" s="268"/>
      <c r="AT144" s="268"/>
      <c r="AU144" s="275"/>
      <c r="AV144" s="268"/>
      <c r="AW144" s="268"/>
      <c r="AX144" s="268"/>
      <c r="AY144" s="268"/>
      <c r="AZ144" s="268"/>
      <c r="BA144" s="268"/>
      <c r="BB144" s="268"/>
      <c r="BC144" s="268"/>
      <c r="BD144" s="268"/>
      <c r="BE144" s="268"/>
      <c r="BF144" s="268"/>
      <c r="BG144" s="268"/>
      <c r="BH144" s="268"/>
      <c r="BI144" s="268"/>
      <c r="BJ144" s="268"/>
      <c r="BK144" s="268"/>
      <c r="BL144" s="268"/>
      <c r="BM144" s="268"/>
      <c r="BN144" s="268"/>
      <c r="BO144" s="268"/>
      <c r="BP144" s="268"/>
      <c r="BQ144" s="268"/>
      <c r="BR144" s="268"/>
      <c r="BS144" s="268"/>
      <c r="BT144" s="268"/>
      <c r="BU144" s="268"/>
      <c r="BV144" s="268"/>
      <c r="BW144" s="268"/>
      <c r="BX144" s="268"/>
      <c r="BY144" s="268"/>
      <c r="BZ144" s="268"/>
      <c r="CA144" s="268"/>
      <c r="CB144" s="268"/>
      <c r="CC144" s="268"/>
      <c r="CD144" s="268"/>
      <c r="CE144" s="268"/>
      <c r="CF144" s="268"/>
      <c r="CG144" s="268"/>
      <c r="CH144" s="268"/>
      <c r="CI144" s="268"/>
      <c r="CJ144" s="268"/>
      <c r="CK144" s="268"/>
      <c r="CL144" s="268"/>
      <c r="CM144" s="268"/>
      <c r="CN144" s="268"/>
      <c r="CO144" s="268"/>
      <c r="CP144" s="268"/>
      <c r="CQ144" s="268"/>
      <c r="CR144" s="268"/>
      <c r="CS144" s="268"/>
      <c r="CT144" s="268"/>
      <c r="CU144" s="268"/>
      <c r="CV144" s="268"/>
      <c r="CW144" s="268"/>
      <c r="CX144" s="268"/>
      <c r="CY144" s="268"/>
      <c r="CZ144" s="268"/>
      <c r="DA144" s="268"/>
      <c r="DB144" s="268"/>
      <c r="DC144" s="268"/>
      <c r="DD144" s="268"/>
      <c r="DE144" s="268"/>
      <c r="DF144" s="268"/>
      <c r="DG144" s="268"/>
      <c r="DH144" s="268"/>
      <c r="DI144" s="268"/>
      <c r="DJ144" s="268"/>
      <c r="DK144" s="268"/>
      <c r="DL144" s="268"/>
      <c r="DM144" s="268"/>
      <c r="DN144" s="268"/>
      <c r="DO144" s="268"/>
      <c r="DP144" s="268"/>
      <c r="DQ144" s="268"/>
      <c r="DR144" s="268"/>
      <c r="DS144" s="268"/>
      <c r="DT144" s="268"/>
      <c r="DU144" s="268"/>
      <c r="DV144" s="268"/>
      <c r="DW144" s="268"/>
      <c r="DX144" s="268"/>
      <c r="DY144" s="268"/>
      <c r="DZ144" s="268"/>
      <c r="EA144" s="268"/>
      <c r="EB144" s="268"/>
      <c r="EC144" s="268"/>
      <c r="ED144" s="268"/>
      <c r="EE144" s="268"/>
      <c r="EF144" s="268"/>
      <c r="EG144" s="268"/>
    </row>
    <row r="145" spans="1:137" s="283" customFormat="1" ht="18" customHeight="1" x14ac:dyDescent="0.35">
      <c r="A145" s="274">
        <f>MATCH(B145,STUDIES!$A$3:$A$502,0)</f>
        <v>12</v>
      </c>
      <c r="B145" s="272" t="s">
        <v>174</v>
      </c>
      <c r="C145" s="435"/>
      <c r="D145" s="281" t="s">
        <v>1104</v>
      </c>
      <c r="E145" s="272" t="s">
        <v>1167</v>
      </c>
      <c r="F145" s="155" t="str">
        <f>_xlfn.XLOOKUP(B145,STUDIES!$A$3:$A$1063,STUDIES!$G$3:$G$1063,"Not Found!")</f>
        <v>A</v>
      </c>
      <c r="G145" s="273" t="s">
        <v>147</v>
      </c>
      <c r="H145" s="273">
        <v>8</v>
      </c>
      <c r="I145" s="273">
        <v>36</v>
      </c>
      <c r="J145" s="274">
        <v>3</v>
      </c>
      <c r="K145" s="268"/>
      <c r="L145" s="268"/>
      <c r="M145" s="268"/>
      <c r="N145" s="268"/>
      <c r="O145" s="268"/>
      <c r="P145" s="268"/>
      <c r="Q145" s="275"/>
      <c r="R145" s="276"/>
      <c r="S145" s="268"/>
      <c r="T145" s="268"/>
      <c r="U145" s="268"/>
      <c r="V145" s="268"/>
      <c r="W145" s="268"/>
      <c r="X145" s="276"/>
      <c r="Y145" s="268"/>
      <c r="Z145" s="268"/>
      <c r="AA145" s="268"/>
      <c r="AB145" s="268"/>
      <c r="AC145" s="268"/>
      <c r="AD145" s="276"/>
      <c r="AE145" s="268"/>
      <c r="AF145" s="268"/>
      <c r="AG145" s="268"/>
      <c r="AH145" s="268"/>
      <c r="AI145" s="268"/>
      <c r="AJ145" s="276"/>
      <c r="AK145" s="268"/>
      <c r="AL145" s="268"/>
      <c r="AM145" s="268"/>
      <c r="AN145" s="268"/>
      <c r="AO145" s="282"/>
      <c r="AP145" s="268"/>
      <c r="AQ145" s="268"/>
      <c r="AR145" s="268"/>
      <c r="AS145" s="268"/>
      <c r="AT145" s="268"/>
      <c r="AU145" s="275"/>
      <c r="AV145" s="268"/>
      <c r="AW145" s="268"/>
      <c r="AX145" s="268"/>
      <c r="AY145" s="268"/>
      <c r="AZ145" s="268"/>
      <c r="BA145" s="268"/>
      <c r="BB145" s="268"/>
      <c r="BC145" s="268"/>
      <c r="BD145" s="268"/>
      <c r="BE145" s="268"/>
      <c r="BF145" s="268"/>
      <c r="BG145" s="268"/>
      <c r="BH145" s="268"/>
      <c r="BI145" s="268"/>
      <c r="BJ145" s="268"/>
      <c r="BK145" s="268"/>
      <c r="BL145" s="268"/>
      <c r="BM145" s="268"/>
      <c r="BN145" s="268"/>
      <c r="BO145" s="268"/>
      <c r="BP145" s="268"/>
      <c r="BQ145" s="268"/>
      <c r="BR145" s="268"/>
      <c r="BS145" s="268"/>
      <c r="BT145" s="268"/>
      <c r="BU145" s="268"/>
      <c r="BV145" s="268"/>
      <c r="BW145" s="268"/>
      <c r="BX145" s="268"/>
      <c r="BY145" s="268"/>
      <c r="BZ145" s="268"/>
      <c r="CA145" s="268"/>
      <c r="CB145" s="268"/>
      <c r="CC145" s="268"/>
      <c r="CD145" s="268"/>
      <c r="CE145" s="268"/>
      <c r="CF145" s="268"/>
      <c r="CG145" s="268"/>
      <c r="CH145" s="268"/>
      <c r="CI145" s="268"/>
      <c r="CJ145" s="268"/>
      <c r="CK145" s="268"/>
      <c r="CL145" s="268"/>
      <c r="CM145" s="268"/>
      <c r="CN145" s="268"/>
      <c r="CO145" s="268"/>
      <c r="CP145" s="268"/>
      <c r="CQ145" s="268"/>
      <c r="CR145" s="268"/>
      <c r="CS145" s="268"/>
      <c r="CT145" s="268"/>
      <c r="CU145" s="268"/>
      <c r="CV145" s="268"/>
      <c r="CW145" s="268"/>
      <c r="CX145" s="268"/>
      <c r="CY145" s="268"/>
      <c r="CZ145" s="268"/>
      <c r="DA145" s="268"/>
      <c r="DB145" s="268"/>
      <c r="DC145" s="268"/>
      <c r="DD145" s="268"/>
      <c r="DE145" s="268"/>
      <c r="DF145" s="268"/>
      <c r="DG145" s="268"/>
      <c r="DH145" s="268"/>
      <c r="DI145" s="268"/>
      <c r="DJ145" s="268"/>
      <c r="DK145" s="268"/>
      <c r="DL145" s="268"/>
      <c r="DM145" s="268"/>
      <c r="DN145" s="268"/>
      <c r="DO145" s="268"/>
      <c r="DP145" s="268"/>
      <c r="DQ145" s="268"/>
      <c r="DR145" s="268"/>
      <c r="DS145" s="268"/>
      <c r="DT145" s="268"/>
      <c r="DU145" s="268"/>
      <c r="DV145" s="268"/>
      <c r="DW145" s="268"/>
      <c r="DX145" s="268"/>
      <c r="DY145" s="268"/>
      <c r="DZ145" s="268"/>
      <c r="EA145" s="268"/>
      <c r="EB145" s="268"/>
      <c r="EC145" s="268"/>
      <c r="ED145" s="268"/>
      <c r="EE145" s="268"/>
      <c r="EF145" s="268"/>
      <c r="EG145" s="268"/>
    </row>
    <row r="146" spans="1:137" s="283" customFormat="1" ht="18" customHeight="1" x14ac:dyDescent="0.35">
      <c r="A146" s="274">
        <f>MATCH(B146,STUDIES!$A$3:$A$502,0)</f>
        <v>13</v>
      </c>
      <c r="B146" s="270" t="s">
        <v>901</v>
      </c>
      <c r="C146" s="459"/>
      <c r="D146" s="269" t="s">
        <v>1043</v>
      </c>
      <c r="E146" s="270" t="s">
        <v>154</v>
      </c>
      <c r="F146" s="155" t="str">
        <f>_xlfn.XLOOKUP(B146,STUDIES!$A$3:$A$1063,STUDIES!$G$3:$G$1063,"Not Found!")</f>
        <v>A</v>
      </c>
      <c r="G146" s="257" t="s">
        <v>147</v>
      </c>
      <c r="H146" s="257">
        <v>16</v>
      </c>
      <c r="I146" s="303">
        <v>37</v>
      </c>
      <c r="J146" s="304"/>
      <c r="K146" s="305"/>
      <c r="L146" s="305"/>
      <c r="M146" s="305"/>
      <c r="N146" s="305"/>
      <c r="O146" s="305"/>
      <c r="P146" s="305"/>
      <c r="Q146" s="271" t="s">
        <v>90</v>
      </c>
      <c r="R146" s="262">
        <v>-6.89</v>
      </c>
      <c r="S146" s="263">
        <v>0.89</v>
      </c>
      <c r="T146" s="259"/>
      <c r="U146" s="259"/>
      <c r="V146" s="259"/>
      <c r="W146" s="259"/>
      <c r="X146" s="264"/>
      <c r="Y146" s="259"/>
      <c r="Z146" s="259"/>
      <c r="AA146" s="259"/>
      <c r="AB146" s="259"/>
      <c r="AC146" s="259"/>
      <c r="AD146" s="264"/>
      <c r="AE146" s="259"/>
      <c r="AF146" s="259"/>
      <c r="AG146" s="259"/>
      <c r="AH146" s="259"/>
      <c r="AI146" s="259"/>
      <c r="AJ146" s="265"/>
      <c r="AK146" s="266"/>
      <c r="AL146" s="266"/>
      <c r="AM146" s="266"/>
      <c r="AN146" s="266"/>
      <c r="AO146" s="302"/>
      <c r="AP146" s="266"/>
      <c r="AQ146" s="266"/>
      <c r="AR146" s="266"/>
      <c r="AS146" s="266"/>
      <c r="AT146" s="266"/>
      <c r="AU146" s="267"/>
      <c r="AV146" s="268"/>
      <c r="AW146" s="268"/>
      <c r="AX146" s="268"/>
      <c r="AY146" s="268"/>
      <c r="AZ146" s="268"/>
      <c r="BA146" s="268"/>
      <c r="BB146" s="268"/>
      <c r="BC146" s="268"/>
      <c r="BD146" s="268"/>
      <c r="BE146" s="268"/>
      <c r="BF146" s="268"/>
      <c r="BG146" s="268"/>
      <c r="BH146" s="268"/>
      <c r="BI146" s="268"/>
      <c r="BJ146" s="268"/>
      <c r="BK146" s="268"/>
      <c r="BL146" s="268"/>
      <c r="BM146" s="268"/>
      <c r="BN146" s="268"/>
      <c r="BO146" s="268"/>
      <c r="BP146" s="268"/>
      <c r="BQ146" s="268"/>
      <c r="BR146" s="268"/>
      <c r="BS146" s="268"/>
      <c r="BT146" s="268"/>
      <c r="BU146" s="268"/>
      <c r="BV146" s="268"/>
      <c r="BW146" s="268"/>
      <c r="BX146" s="268"/>
      <c r="BY146" s="268"/>
      <c r="BZ146" s="268"/>
      <c r="CA146" s="268"/>
      <c r="CB146" s="268"/>
      <c r="CC146" s="268"/>
      <c r="CD146" s="268"/>
      <c r="CE146" s="268"/>
      <c r="CF146" s="268"/>
      <c r="CG146" s="268"/>
      <c r="CH146" s="268"/>
      <c r="CI146" s="268"/>
      <c r="CJ146" s="268"/>
      <c r="CK146" s="268"/>
      <c r="CL146" s="268"/>
      <c r="CM146" s="268"/>
      <c r="CN146" s="268"/>
      <c r="CO146" s="268"/>
      <c r="CP146" s="268"/>
      <c r="CQ146" s="268"/>
      <c r="CR146" s="268"/>
      <c r="CS146" s="268"/>
      <c r="CT146" s="268"/>
      <c r="CU146" s="268"/>
      <c r="CV146" s="268"/>
      <c r="CW146" s="268"/>
      <c r="CX146" s="268"/>
      <c r="CY146" s="268"/>
      <c r="CZ146" s="268"/>
      <c r="DA146" s="268"/>
      <c r="DB146" s="268"/>
      <c r="DC146" s="268"/>
      <c r="DD146" s="268"/>
      <c r="DE146" s="268"/>
      <c r="DF146" s="268"/>
      <c r="DG146" s="268"/>
      <c r="DH146" s="268"/>
      <c r="DI146" s="268"/>
      <c r="DJ146" s="268"/>
      <c r="DK146" s="268"/>
      <c r="DL146" s="268"/>
      <c r="DM146" s="268"/>
      <c r="DN146" s="268"/>
      <c r="DO146" s="268"/>
      <c r="DP146" s="268"/>
      <c r="DQ146" s="268"/>
      <c r="DR146" s="268"/>
      <c r="DS146" s="268"/>
      <c r="DT146" s="268"/>
      <c r="DU146" s="268"/>
      <c r="DV146" s="268"/>
      <c r="DW146" s="268"/>
      <c r="DX146" s="268"/>
      <c r="DY146" s="268"/>
      <c r="DZ146" s="268"/>
      <c r="EA146" s="268"/>
      <c r="EB146" s="268"/>
      <c r="EC146" s="268"/>
      <c r="ED146" s="268"/>
      <c r="EE146" s="268"/>
      <c r="EF146" s="268"/>
      <c r="EG146" s="268"/>
    </row>
    <row r="147" spans="1:137" s="283" customFormat="1" ht="18" customHeight="1" x14ac:dyDescent="0.35">
      <c r="A147" s="274">
        <f>MATCH(B147,STUDIES!$A$3:$A$502,0)</f>
        <v>13</v>
      </c>
      <c r="B147" s="270" t="s">
        <v>901</v>
      </c>
      <c r="C147" s="459"/>
      <c r="D147" s="269" t="s">
        <v>1043</v>
      </c>
      <c r="E147" s="256" t="s">
        <v>151</v>
      </c>
      <c r="F147" s="155" t="str">
        <f>_xlfn.XLOOKUP(B147,STUDIES!$A$3:$A$1063,STUDIES!$G$3:$G$1063,"Not Found!")</f>
        <v>A</v>
      </c>
      <c r="G147" s="257" t="s">
        <v>147</v>
      </c>
      <c r="H147" s="257">
        <v>16</v>
      </c>
      <c r="I147" s="257">
        <v>37</v>
      </c>
      <c r="J147" s="258"/>
      <c r="K147" s="259"/>
      <c r="L147" s="259"/>
      <c r="M147" s="259"/>
      <c r="N147" s="259"/>
      <c r="O147" s="259"/>
      <c r="P147" s="259"/>
      <c r="Q147" s="271" t="s">
        <v>90</v>
      </c>
      <c r="R147" s="306">
        <v>-16.440000000000001</v>
      </c>
      <c r="S147" s="307">
        <v>1.72</v>
      </c>
      <c r="T147" s="259"/>
      <c r="U147" s="259"/>
      <c r="V147" s="259"/>
      <c r="W147" s="259"/>
      <c r="X147" s="264"/>
      <c r="Y147" s="259"/>
      <c r="Z147" s="259"/>
      <c r="AA147" s="259"/>
      <c r="AB147" s="259"/>
      <c r="AC147" s="259"/>
      <c r="AD147" s="264"/>
      <c r="AE147" s="259"/>
      <c r="AF147" s="259"/>
      <c r="AG147" s="259"/>
      <c r="AH147" s="259"/>
      <c r="AI147" s="259"/>
      <c r="AJ147" s="265"/>
      <c r="AK147" s="266"/>
      <c r="AL147" s="266"/>
      <c r="AM147" s="266"/>
      <c r="AN147" s="266"/>
      <c r="AO147" s="302"/>
      <c r="AP147" s="266"/>
      <c r="AQ147" s="266"/>
      <c r="AR147" s="266"/>
      <c r="AS147" s="266"/>
      <c r="AT147" s="266"/>
      <c r="AU147" s="267"/>
      <c r="AV147" s="268"/>
      <c r="AW147" s="268"/>
      <c r="AX147" s="268"/>
      <c r="AY147" s="268"/>
      <c r="AZ147" s="268"/>
      <c r="BA147" s="268"/>
      <c r="BB147" s="268"/>
      <c r="BC147" s="268"/>
      <c r="BD147" s="268"/>
      <c r="BE147" s="268"/>
      <c r="BF147" s="268"/>
      <c r="BG147" s="268"/>
      <c r="BH147" s="268"/>
      <c r="BI147" s="268"/>
      <c r="BJ147" s="268"/>
      <c r="BK147" s="268"/>
      <c r="BL147" s="268"/>
      <c r="BM147" s="268"/>
      <c r="BN147" s="268"/>
      <c r="BO147" s="268"/>
      <c r="BP147" s="268"/>
      <c r="BQ147" s="268"/>
      <c r="BR147" s="268"/>
      <c r="BS147" s="268"/>
      <c r="BT147" s="268"/>
      <c r="BU147" s="268"/>
      <c r="BV147" s="268"/>
      <c r="BW147" s="268"/>
      <c r="BX147" s="268"/>
      <c r="BY147" s="268"/>
      <c r="BZ147" s="268"/>
      <c r="CA147" s="268"/>
      <c r="CB147" s="268"/>
      <c r="CC147" s="268"/>
      <c r="CD147" s="268"/>
      <c r="CE147" s="268"/>
      <c r="CF147" s="268"/>
      <c r="CG147" s="268"/>
      <c r="CH147" s="268"/>
      <c r="CI147" s="268"/>
      <c r="CJ147" s="268"/>
      <c r="CK147" s="268"/>
      <c r="CL147" s="268"/>
      <c r="CM147" s="268"/>
      <c r="CN147" s="268"/>
      <c r="CO147" s="268"/>
      <c r="CP147" s="268"/>
      <c r="CQ147" s="268"/>
      <c r="CR147" s="268"/>
      <c r="CS147" s="268"/>
      <c r="CT147" s="268"/>
      <c r="CU147" s="268"/>
      <c r="CV147" s="268"/>
      <c r="CW147" s="268"/>
      <c r="CX147" s="268"/>
      <c r="CY147" s="268"/>
      <c r="CZ147" s="268"/>
      <c r="DA147" s="268"/>
      <c r="DB147" s="268"/>
      <c r="DC147" s="268"/>
      <c r="DD147" s="268"/>
      <c r="DE147" s="268"/>
      <c r="DF147" s="268"/>
      <c r="DG147" s="268"/>
      <c r="DH147" s="268"/>
      <c r="DI147" s="268"/>
      <c r="DJ147" s="268"/>
      <c r="DK147" s="268"/>
      <c r="DL147" s="268"/>
      <c r="DM147" s="268"/>
      <c r="DN147" s="268"/>
      <c r="DO147" s="268"/>
      <c r="DP147" s="268"/>
      <c r="DQ147" s="268"/>
      <c r="DR147" s="268"/>
      <c r="DS147" s="268"/>
      <c r="DT147" s="268"/>
      <c r="DU147" s="268"/>
      <c r="DV147" s="268"/>
      <c r="DW147" s="268"/>
      <c r="DX147" s="268"/>
      <c r="DY147" s="268"/>
      <c r="DZ147" s="268"/>
      <c r="EA147" s="268"/>
      <c r="EB147" s="268"/>
      <c r="EC147" s="268"/>
      <c r="ED147" s="268"/>
      <c r="EE147" s="268"/>
      <c r="EF147" s="268"/>
      <c r="EG147" s="268"/>
    </row>
    <row r="148" spans="1:137" s="283" customFormat="1" ht="18" customHeight="1" x14ac:dyDescent="0.35">
      <c r="A148" s="274">
        <f>MATCH(B148,STUDIES!$A$3:$A$502,0)</f>
        <v>13</v>
      </c>
      <c r="B148" s="270" t="s">
        <v>901</v>
      </c>
      <c r="C148" s="459"/>
      <c r="D148" s="278" t="s">
        <v>1043</v>
      </c>
      <c r="E148" s="270" t="s">
        <v>288</v>
      </c>
      <c r="F148" s="155" t="str">
        <f>_xlfn.XLOOKUP(B148,STUDIES!$A$3:$A$1063,STUDIES!$G$3:$G$1063,"Not Found!")</f>
        <v>A</v>
      </c>
      <c r="G148" s="257" t="s">
        <v>147</v>
      </c>
      <c r="H148" s="257">
        <v>16</v>
      </c>
      <c r="I148" s="257">
        <v>37</v>
      </c>
      <c r="J148" s="258"/>
      <c r="K148" s="259"/>
      <c r="L148" s="259"/>
      <c r="M148" s="259"/>
      <c r="N148" s="259"/>
      <c r="O148" s="259"/>
      <c r="P148" s="259"/>
      <c r="Q148" s="271" t="s">
        <v>90</v>
      </c>
      <c r="R148" s="262">
        <v>-2.61</v>
      </c>
      <c r="S148" s="263">
        <v>0.47</v>
      </c>
      <c r="T148" s="259"/>
      <c r="U148" s="259"/>
      <c r="V148" s="259"/>
      <c r="W148" s="259"/>
      <c r="X148" s="264"/>
      <c r="Y148" s="259"/>
      <c r="Z148" s="259"/>
      <c r="AA148" s="259"/>
      <c r="AB148" s="259"/>
      <c r="AC148" s="259"/>
      <c r="AD148" s="264"/>
      <c r="AE148" s="259"/>
      <c r="AF148" s="259"/>
      <c r="AG148" s="259"/>
      <c r="AH148" s="259"/>
      <c r="AI148" s="259"/>
      <c r="AJ148" s="265"/>
      <c r="AK148" s="266"/>
      <c r="AL148" s="266"/>
      <c r="AM148" s="266"/>
      <c r="AN148" s="266"/>
      <c r="AO148" s="302"/>
      <c r="AP148" s="266"/>
      <c r="AQ148" s="266"/>
      <c r="AR148" s="266"/>
      <c r="AS148" s="266"/>
      <c r="AT148" s="266"/>
      <c r="AU148" s="267"/>
      <c r="AV148" s="268"/>
      <c r="AW148" s="268"/>
      <c r="AX148" s="268"/>
      <c r="AY148" s="268"/>
      <c r="AZ148" s="268"/>
      <c r="BA148" s="268"/>
      <c r="BB148" s="268"/>
      <c r="BC148" s="268"/>
      <c r="BD148" s="268"/>
      <c r="BE148" s="268"/>
      <c r="BF148" s="268"/>
      <c r="BG148" s="268"/>
      <c r="BH148" s="268"/>
      <c r="BI148" s="268"/>
      <c r="BJ148" s="268"/>
      <c r="BK148" s="268"/>
      <c r="BL148" s="268"/>
      <c r="BM148" s="268"/>
      <c r="BN148" s="268"/>
      <c r="BO148" s="268"/>
      <c r="BP148" s="268"/>
      <c r="BQ148" s="268"/>
      <c r="BR148" s="268"/>
      <c r="BS148" s="268"/>
      <c r="BT148" s="268"/>
      <c r="BU148" s="268"/>
      <c r="BV148" s="268"/>
      <c r="BW148" s="268"/>
      <c r="BX148" s="268"/>
      <c r="BY148" s="268"/>
      <c r="BZ148" s="268"/>
      <c r="CA148" s="268"/>
      <c r="CB148" s="268"/>
      <c r="CC148" s="268"/>
      <c r="CD148" s="268"/>
      <c r="CE148" s="268"/>
      <c r="CF148" s="268"/>
      <c r="CG148" s="268"/>
      <c r="CH148" s="268"/>
      <c r="CI148" s="268"/>
      <c r="CJ148" s="268"/>
      <c r="CK148" s="268"/>
      <c r="CL148" s="268"/>
      <c r="CM148" s="268"/>
      <c r="CN148" s="268"/>
      <c r="CO148" s="268"/>
      <c r="CP148" s="268"/>
      <c r="CQ148" s="268"/>
      <c r="CR148" s="268"/>
      <c r="CS148" s="268"/>
      <c r="CT148" s="268"/>
      <c r="CU148" s="268"/>
      <c r="CV148" s="268"/>
      <c r="CW148" s="268"/>
      <c r="CX148" s="268"/>
      <c r="CY148" s="268"/>
      <c r="CZ148" s="268"/>
      <c r="DA148" s="268"/>
      <c r="DB148" s="268"/>
      <c r="DC148" s="268"/>
      <c r="DD148" s="268"/>
      <c r="DE148" s="268"/>
      <c r="DF148" s="268"/>
      <c r="DG148" s="268"/>
      <c r="DH148" s="268"/>
      <c r="DI148" s="268"/>
      <c r="DJ148" s="268"/>
      <c r="DK148" s="268"/>
      <c r="DL148" s="268"/>
      <c r="DM148" s="268"/>
      <c r="DN148" s="268"/>
      <c r="DO148" s="268"/>
      <c r="DP148" s="268"/>
      <c r="DQ148" s="268"/>
      <c r="DR148" s="268"/>
      <c r="DS148" s="268"/>
      <c r="DT148" s="268"/>
      <c r="DU148" s="268"/>
      <c r="DV148" s="268"/>
      <c r="DW148" s="268"/>
      <c r="DX148" s="268"/>
      <c r="DY148" s="268"/>
      <c r="DZ148" s="268"/>
      <c r="EA148" s="268"/>
      <c r="EB148" s="268"/>
      <c r="EC148" s="268"/>
      <c r="ED148" s="268"/>
      <c r="EE148" s="268"/>
      <c r="EF148" s="268"/>
      <c r="EG148" s="268"/>
    </row>
    <row r="149" spans="1:137" s="283" customFormat="1" ht="18" customHeight="1" x14ac:dyDescent="0.35">
      <c r="A149" s="274">
        <f>MATCH(B149,STUDIES!$A$3:$A$502,0)</f>
        <v>13</v>
      </c>
      <c r="B149" s="272" t="s">
        <v>901</v>
      </c>
      <c r="C149" s="435"/>
      <c r="D149" s="278" t="s">
        <v>1043</v>
      </c>
      <c r="E149" s="272" t="s">
        <v>1163</v>
      </c>
      <c r="F149" s="155" t="str">
        <f>_xlfn.XLOOKUP(B149,STUDIES!$A$3:$A$1063,STUDIES!$G$3:$G$1063,"Not Found!")</f>
        <v>A</v>
      </c>
      <c r="G149" s="273" t="s">
        <v>147</v>
      </c>
      <c r="H149" s="273">
        <v>16</v>
      </c>
      <c r="I149" s="273">
        <v>37</v>
      </c>
      <c r="J149" s="274">
        <v>1</v>
      </c>
      <c r="K149" s="268"/>
      <c r="L149" s="268"/>
      <c r="M149" s="268"/>
      <c r="N149" s="268"/>
      <c r="O149" s="268"/>
      <c r="P149" s="268"/>
      <c r="Q149" s="282"/>
      <c r="S149" s="268"/>
      <c r="T149" s="268"/>
      <c r="U149" s="268"/>
      <c r="V149" s="268"/>
      <c r="W149" s="268"/>
      <c r="X149" s="276"/>
      <c r="Y149" s="268"/>
      <c r="Z149" s="268"/>
      <c r="AA149" s="268"/>
      <c r="AB149" s="268"/>
      <c r="AC149" s="268"/>
      <c r="AD149" s="276"/>
      <c r="AE149" s="268"/>
      <c r="AF149" s="268"/>
      <c r="AG149" s="268"/>
      <c r="AH149" s="268"/>
      <c r="AI149" s="268"/>
      <c r="AJ149" s="276"/>
      <c r="AK149" s="268"/>
      <c r="AL149" s="268"/>
      <c r="AM149" s="268"/>
      <c r="AN149" s="268"/>
      <c r="AO149" s="282"/>
      <c r="AP149" s="268"/>
      <c r="AQ149" s="268"/>
      <c r="AR149" s="268"/>
      <c r="AS149" s="268"/>
      <c r="AT149" s="268"/>
      <c r="AU149" s="275"/>
      <c r="AV149" s="268"/>
      <c r="AW149" s="268"/>
      <c r="AX149" s="268"/>
      <c r="AY149" s="268"/>
      <c r="AZ149" s="268"/>
      <c r="BA149" s="268"/>
      <c r="BB149" s="268"/>
      <c r="BC149" s="268"/>
      <c r="BD149" s="268"/>
      <c r="BE149" s="268"/>
      <c r="BF149" s="268"/>
      <c r="BG149" s="268"/>
      <c r="BH149" s="268"/>
      <c r="BI149" s="268"/>
      <c r="BJ149" s="268"/>
      <c r="BK149" s="268"/>
      <c r="BL149" s="268"/>
      <c r="BM149" s="268"/>
      <c r="BN149" s="268"/>
      <c r="BO149" s="268"/>
      <c r="BP149" s="268"/>
      <c r="BQ149" s="268"/>
      <c r="BR149" s="268"/>
      <c r="BS149" s="268"/>
      <c r="BT149" s="268"/>
      <c r="BU149" s="268"/>
      <c r="BV149" s="268"/>
      <c r="BW149" s="268"/>
      <c r="BX149" s="268"/>
      <c r="BY149" s="268"/>
      <c r="BZ149" s="268"/>
      <c r="CA149" s="268"/>
      <c r="CB149" s="268"/>
      <c r="CC149" s="268"/>
      <c r="CD149" s="268"/>
      <c r="CE149" s="268"/>
      <c r="CF149" s="268"/>
      <c r="CG149" s="268"/>
      <c r="CH149" s="268"/>
      <c r="CI149" s="268"/>
      <c r="CJ149" s="268"/>
      <c r="CK149" s="268"/>
      <c r="CL149" s="268"/>
      <c r="CM149" s="268"/>
      <c r="CN149" s="268"/>
      <c r="CO149" s="268"/>
      <c r="CP149" s="268"/>
      <c r="CQ149" s="268"/>
      <c r="CR149" s="268"/>
      <c r="CS149" s="268"/>
      <c r="CT149" s="268"/>
      <c r="CU149" s="268"/>
      <c r="CV149" s="268"/>
      <c r="CW149" s="268"/>
      <c r="CX149" s="268"/>
      <c r="CY149" s="268"/>
      <c r="CZ149" s="268"/>
      <c r="DA149" s="268"/>
      <c r="DB149" s="268"/>
      <c r="DC149" s="268"/>
      <c r="DD149" s="268"/>
      <c r="DE149" s="268"/>
      <c r="DF149" s="268"/>
      <c r="DG149" s="268"/>
      <c r="DH149" s="268"/>
      <c r="DI149" s="268"/>
      <c r="DJ149" s="268"/>
      <c r="DK149" s="268"/>
      <c r="DL149" s="268"/>
      <c r="DM149" s="268"/>
      <c r="DN149" s="268"/>
      <c r="DO149" s="268"/>
      <c r="DP149" s="268"/>
      <c r="DQ149" s="268"/>
      <c r="DR149" s="268"/>
      <c r="DS149" s="268"/>
      <c r="DT149" s="268"/>
      <c r="DU149" s="268"/>
      <c r="DV149" s="268"/>
      <c r="DW149" s="268"/>
      <c r="DX149" s="268"/>
      <c r="DY149" s="268"/>
      <c r="DZ149" s="268"/>
      <c r="EA149" s="268"/>
      <c r="EB149" s="268"/>
      <c r="EC149" s="268"/>
      <c r="ED149" s="268"/>
      <c r="EE149" s="268"/>
      <c r="EF149" s="268"/>
      <c r="EG149" s="268"/>
    </row>
    <row r="150" spans="1:137" s="283" customFormat="1" ht="18" customHeight="1" x14ac:dyDescent="0.35">
      <c r="A150" s="274">
        <f>MATCH(B150,STUDIES!$A$3:$A$502,0)</f>
        <v>13</v>
      </c>
      <c r="B150" s="272" t="s">
        <v>901</v>
      </c>
      <c r="C150" s="435"/>
      <c r="D150" s="281" t="s">
        <v>1043</v>
      </c>
      <c r="E150" s="272" t="s">
        <v>1167</v>
      </c>
      <c r="F150" s="155" t="str">
        <f>_xlfn.XLOOKUP(B150,STUDIES!$A$3:$A$1063,STUDIES!$G$3:$G$1063,"Not Found!")</f>
        <v>A</v>
      </c>
      <c r="G150" s="273" t="s">
        <v>147</v>
      </c>
      <c r="H150" s="273">
        <v>16</v>
      </c>
      <c r="I150" s="273">
        <v>37</v>
      </c>
      <c r="J150" s="274">
        <v>1</v>
      </c>
      <c r="K150" s="268"/>
      <c r="L150" s="268"/>
      <c r="M150" s="268"/>
      <c r="N150" s="268"/>
      <c r="O150" s="268"/>
      <c r="P150" s="268"/>
      <c r="Q150" s="282"/>
      <c r="S150" s="268"/>
      <c r="T150" s="268"/>
      <c r="U150" s="268"/>
      <c r="V150" s="268"/>
      <c r="W150" s="268"/>
      <c r="X150" s="276"/>
      <c r="Y150" s="268"/>
      <c r="Z150" s="268"/>
      <c r="AA150" s="268"/>
      <c r="AB150" s="268"/>
      <c r="AC150" s="268"/>
      <c r="AD150" s="276"/>
      <c r="AE150" s="268"/>
      <c r="AF150" s="268"/>
      <c r="AG150" s="268"/>
      <c r="AH150" s="268"/>
      <c r="AI150" s="268"/>
      <c r="AJ150" s="276"/>
      <c r="AK150" s="268"/>
      <c r="AL150" s="268"/>
      <c r="AM150" s="268"/>
      <c r="AN150" s="268"/>
      <c r="AO150" s="282"/>
      <c r="AP150" s="268"/>
      <c r="AQ150" s="268"/>
      <c r="AR150" s="268"/>
      <c r="AS150" s="268"/>
      <c r="AT150" s="268"/>
      <c r="AU150" s="275"/>
      <c r="AV150" s="268"/>
      <c r="AW150" s="268"/>
      <c r="AX150" s="268"/>
      <c r="AY150" s="268"/>
      <c r="AZ150" s="268"/>
      <c r="BA150" s="268"/>
      <c r="BB150" s="268"/>
      <c r="BC150" s="268"/>
      <c r="BD150" s="268"/>
      <c r="BE150" s="268"/>
      <c r="BF150" s="268"/>
      <c r="BG150" s="268"/>
      <c r="BH150" s="268"/>
      <c r="BI150" s="268"/>
      <c r="BJ150" s="268"/>
      <c r="BK150" s="268"/>
      <c r="BL150" s="268"/>
      <c r="BM150" s="268"/>
      <c r="BN150" s="268"/>
      <c r="BO150" s="268"/>
      <c r="BP150" s="268"/>
      <c r="BQ150" s="268"/>
      <c r="BR150" s="268"/>
      <c r="BS150" s="268"/>
      <c r="BT150" s="268"/>
      <c r="BU150" s="268"/>
      <c r="BV150" s="268"/>
      <c r="BW150" s="268"/>
      <c r="BX150" s="268"/>
      <c r="BY150" s="268"/>
      <c r="BZ150" s="268"/>
      <c r="CA150" s="268"/>
      <c r="CB150" s="268"/>
      <c r="CC150" s="268"/>
      <c r="CD150" s="268"/>
      <c r="CE150" s="268"/>
      <c r="CF150" s="268"/>
      <c r="CG150" s="268"/>
      <c r="CH150" s="268"/>
      <c r="CI150" s="268"/>
      <c r="CJ150" s="268"/>
      <c r="CK150" s="268"/>
      <c r="CL150" s="268"/>
      <c r="CM150" s="268"/>
      <c r="CN150" s="268"/>
      <c r="CO150" s="268"/>
      <c r="CP150" s="268"/>
      <c r="CQ150" s="268"/>
      <c r="CR150" s="268"/>
      <c r="CS150" s="268"/>
      <c r="CT150" s="268"/>
      <c r="CU150" s="268"/>
      <c r="CV150" s="268"/>
      <c r="CW150" s="268"/>
      <c r="CX150" s="268"/>
      <c r="CY150" s="268"/>
      <c r="CZ150" s="268"/>
      <c r="DA150" s="268"/>
      <c r="DB150" s="268"/>
      <c r="DC150" s="268"/>
      <c r="DD150" s="268"/>
      <c r="DE150" s="268"/>
      <c r="DF150" s="268"/>
      <c r="DG150" s="268"/>
      <c r="DH150" s="268"/>
      <c r="DI150" s="268"/>
      <c r="DJ150" s="268"/>
      <c r="DK150" s="268"/>
      <c r="DL150" s="268"/>
      <c r="DM150" s="268"/>
      <c r="DN150" s="268"/>
      <c r="DO150" s="268"/>
      <c r="DP150" s="268"/>
      <c r="DQ150" s="268"/>
      <c r="DR150" s="268"/>
      <c r="DS150" s="268"/>
      <c r="DT150" s="268"/>
      <c r="DU150" s="268"/>
      <c r="DV150" s="268"/>
      <c r="DW150" s="268"/>
      <c r="DX150" s="268"/>
      <c r="DY150" s="268"/>
      <c r="DZ150" s="268"/>
      <c r="EA150" s="268"/>
      <c r="EB150" s="268"/>
      <c r="EC150" s="268"/>
      <c r="ED150" s="268"/>
      <c r="EE150" s="268"/>
      <c r="EF150" s="268"/>
      <c r="EG150" s="268"/>
    </row>
    <row r="151" spans="1:137" s="283" customFormat="1" ht="18" customHeight="1" x14ac:dyDescent="0.35">
      <c r="A151" s="274">
        <f>MATCH(B151,STUDIES!$A$3:$A$502,0)</f>
        <v>13</v>
      </c>
      <c r="B151" s="270" t="s">
        <v>901</v>
      </c>
      <c r="C151" s="459"/>
      <c r="D151" s="269" t="s">
        <v>1044</v>
      </c>
      <c r="E151" s="270" t="s">
        <v>154</v>
      </c>
      <c r="F151" s="155" t="str">
        <f>_xlfn.XLOOKUP(B151,STUDIES!$A$3:$A$1063,STUDIES!$G$3:$G$1063,"Not Found!")</f>
        <v>A</v>
      </c>
      <c r="G151" s="257" t="s">
        <v>147</v>
      </c>
      <c r="H151" s="257">
        <v>16</v>
      </c>
      <c r="I151" s="303">
        <v>38</v>
      </c>
      <c r="J151" s="304"/>
      <c r="K151" s="305"/>
      <c r="L151" s="305"/>
      <c r="M151" s="305"/>
      <c r="N151" s="305"/>
      <c r="O151" s="305"/>
      <c r="P151" s="305"/>
      <c r="Q151" s="279" t="s">
        <v>90</v>
      </c>
      <c r="R151" s="280">
        <v>-7.96</v>
      </c>
      <c r="S151" s="263">
        <v>0.86</v>
      </c>
      <c r="T151" s="259"/>
      <c r="U151" s="259"/>
      <c r="V151" s="259"/>
      <c r="W151" s="259"/>
      <c r="X151" s="264"/>
      <c r="Y151" s="259"/>
      <c r="Z151" s="259"/>
      <c r="AA151" s="259"/>
      <c r="AB151" s="259"/>
      <c r="AC151" s="259"/>
      <c r="AD151" s="264"/>
      <c r="AE151" s="259"/>
      <c r="AF151" s="259"/>
      <c r="AG151" s="259"/>
      <c r="AH151" s="259"/>
      <c r="AI151" s="259"/>
      <c r="AJ151" s="265"/>
      <c r="AK151" s="266"/>
      <c r="AL151" s="266"/>
      <c r="AM151" s="266"/>
      <c r="AN151" s="266"/>
      <c r="AO151" s="302"/>
      <c r="AP151" s="266"/>
      <c r="AQ151" s="266"/>
      <c r="AR151" s="266"/>
      <c r="AS151" s="266"/>
      <c r="AT151" s="266"/>
      <c r="AU151" s="267"/>
      <c r="AV151" s="268"/>
      <c r="AW151" s="268"/>
      <c r="AX151" s="268"/>
      <c r="AY151" s="268"/>
      <c r="AZ151" s="268"/>
      <c r="BA151" s="268"/>
      <c r="BB151" s="268"/>
      <c r="BC151" s="268"/>
      <c r="BD151" s="268"/>
      <c r="BE151" s="268"/>
      <c r="BF151" s="268"/>
      <c r="BG151" s="268"/>
      <c r="BH151" s="268"/>
      <c r="BI151" s="268"/>
      <c r="BJ151" s="268"/>
      <c r="BK151" s="268"/>
      <c r="BL151" s="268"/>
      <c r="BM151" s="268"/>
      <c r="BN151" s="268"/>
      <c r="BO151" s="268"/>
      <c r="BP151" s="268"/>
      <c r="BQ151" s="268"/>
      <c r="BR151" s="268"/>
      <c r="BS151" s="268"/>
      <c r="BT151" s="268"/>
      <c r="BU151" s="268"/>
      <c r="BV151" s="268"/>
      <c r="BW151" s="268"/>
      <c r="BX151" s="268"/>
      <c r="BY151" s="268"/>
      <c r="BZ151" s="268"/>
      <c r="CA151" s="268"/>
      <c r="CB151" s="268"/>
      <c r="CC151" s="268"/>
      <c r="CD151" s="268"/>
      <c r="CE151" s="268"/>
      <c r="CF151" s="268"/>
      <c r="CG151" s="268"/>
      <c r="CH151" s="268"/>
      <c r="CI151" s="268"/>
      <c r="CJ151" s="268"/>
      <c r="CK151" s="268"/>
      <c r="CL151" s="268"/>
      <c r="CM151" s="268"/>
      <c r="CN151" s="268"/>
      <c r="CO151" s="268"/>
      <c r="CP151" s="268"/>
      <c r="CQ151" s="268"/>
      <c r="CR151" s="268"/>
      <c r="CS151" s="268"/>
      <c r="CT151" s="268"/>
      <c r="CU151" s="268"/>
      <c r="CV151" s="268"/>
      <c r="CW151" s="268"/>
      <c r="CX151" s="268"/>
      <c r="CY151" s="268"/>
      <c r="CZ151" s="268"/>
      <c r="DA151" s="268"/>
      <c r="DB151" s="268"/>
      <c r="DC151" s="268"/>
      <c r="DD151" s="268"/>
      <c r="DE151" s="268"/>
      <c r="DF151" s="268"/>
      <c r="DG151" s="268"/>
      <c r="DH151" s="268"/>
      <c r="DI151" s="268"/>
      <c r="DJ151" s="268"/>
      <c r="DK151" s="268"/>
      <c r="DL151" s="268"/>
      <c r="DM151" s="268"/>
      <c r="DN151" s="268"/>
      <c r="DO151" s="268"/>
      <c r="DP151" s="268"/>
      <c r="DQ151" s="268"/>
      <c r="DR151" s="268"/>
      <c r="DS151" s="268"/>
      <c r="DT151" s="268"/>
      <c r="DU151" s="268"/>
      <c r="DV151" s="268"/>
      <c r="DW151" s="268"/>
      <c r="DX151" s="268"/>
      <c r="DY151" s="268"/>
      <c r="DZ151" s="268"/>
      <c r="EA151" s="268"/>
      <c r="EB151" s="268"/>
      <c r="EC151" s="268"/>
      <c r="ED151" s="268"/>
      <c r="EE151" s="268"/>
      <c r="EF151" s="268"/>
      <c r="EG151" s="268"/>
    </row>
    <row r="152" spans="1:137" s="283" customFormat="1" ht="18" customHeight="1" x14ac:dyDescent="0.35">
      <c r="A152" s="274">
        <f>MATCH(B152,STUDIES!$A$3:$A$502,0)</f>
        <v>13</v>
      </c>
      <c r="B152" s="270" t="s">
        <v>901</v>
      </c>
      <c r="C152" s="459"/>
      <c r="D152" s="269" t="s">
        <v>1044</v>
      </c>
      <c r="E152" s="256" t="s">
        <v>151</v>
      </c>
      <c r="F152" s="155" t="str">
        <f>_xlfn.XLOOKUP(B152,STUDIES!$A$3:$A$1063,STUDIES!$G$3:$G$1063,"Not Found!")</f>
        <v>A</v>
      </c>
      <c r="G152" s="257" t="s">
        <v>147</v>
      </c>
      <c r="H152" s="257">
        <v>16</v>
      </c>
      <c r="I152" s="257">
        <v>38</v>
      </c>
      <c r="J152" s="258"/>
      <c r="K152" s="259"/>
      <c r="L152" s="259"/>
      <c r="M152" s="259"/>
      <c r="N152" s="259"/>
      <c r="O152" s="259"/>
      <c r="P152" s="259"/>
      <c r="Q152" s="271" t="s">
        <v>90</v>
      </c>
      <c r="R152" s="306">
        <v>-16.04</v>
      </c>
      <c r="S152" s="307">
        <v>1.72</v>
      </c>
      <c r="T152" s="259"/>
      <c r="U152" s="259"/>
      <c r="V152" s="259"/>
      <c r="W152" s="259"/>
      <c r="X152" s="264"/>
      <c r="Y152" s="259"/>
      <c r="Z152" s="259"/>
      <c r="AA152" s="259"/>
      <c r="AB152" s="259"/>
      <c r="AC152" s="259"/>
      <c r="AD152" s="264"/>
      <c r="AE152" s="259"/>
      <c r="AF152" s="259"/>
      <c r="AG152" s="259"/>
      <c r="AH152" s="259"/>
      <c r="AI152" s="259"/>
      <c r="AJ152" s="265"/>
      <c r="AK152" s="266"/>
      <c r="AL152" s="266"/>
      <c r="AM152" s="266"/>
      <c r="AN152" s="266"/>
      <c r="AO152" s="267"/>
      <c r="AP152" s="266"/>
      <c r="AQ152" s="266"/>
      <c r="AR152" s="266"/>
      <c r="AS152" s="266"/>
      <c r="AT152" s="266"/>
      <c r="AU152" s="267"/>
      <c r="AV152" s="268"/>
      <c r="AW152" s="268"/>
      <c r="AX152" s="268"/>
      <c r="AY152" s="268"/>
      <c r="AZ152" s="268"/>
      <c r="BA152" s="268"/>
      <c r="BB152" s="268"/>
      <c r="BC152" s="268"/>
      <c r="BD152" s="268"/>
      <c r="BE152" s="268"/>
      <c r="BF152" s="268"/>
      <c r="BG152" s="268"/>
      <c r="BH152" s="268"/>
      <c r="BI152" s="268"/>
      <c r="BJ152" s="268"/>
      <c r="BK152" s="268"/>
      <c r="BL152" s="268"/>
      <c r="BM152" s="268"/>
      <c r="BN152" s="268"/>
      <c r="BO152" s="268"/>
      <c r="BP152" s="268"/>
      <c r="BQ152" s="268"/>
      <c r="BR152" s="268"/>
      <c r="BS152" s="268"/>
      <c r="BT152" s="268"/>
      <c r="BU152" s="268"/>
      <c r="BV152" s="268"/>
      <c r="BW152" s="268"/>
      <c r="BX152" s="268"/>
      <c r="BY152" s="268"/>
      <c r="BZ152" s="268"/>
      <c r="CA152" s="268"/>
      <c r="CB152" s="268"/>
      <c r="CC152" s="268"/>
      <c r="CD152" s="268"/>
      <c r="CE152" s="268"/>
      <c r="CF152" s="268"/>
      <c r="CG152" s="268"/>
      <c r="CH152" s="268"/>
      <c r="CI152" s="268"/>
      <c r="CJ152" s="268"/>
      <c r="CK152" s="268"/>
      <c r="CL152" s="268"/>
      <c r="CM152" s="268"/>
      <c r="CN152" s="268"/>
      <c r="CO152" s="268"/>
      <c r="CP152" s="268"/>
      <c r="CQ152" s="268"/>
      <c r="CR152" s="268"/>
      <c r="CS152" s="268"/>
      <c r="CT152" s="268"/>
      <c r="CU152" s="268"/>
      <c r="CV152" s="268"/>
      <c r="CW152" s="268"/>
      <c r="CX152" s="268"/>
      <c r="CY152" s="268"/>
      <c r="CZ152" s="268"/>
      <c r="DA152" s="268"/>
      <c r="DB152" s="268"/>
      <c r="DC152" s="268"/>
      <c r="DD152" s="268"/>
      <c r="DE152" s="268"/>
      <c r="DF152" s="268"/>
      <c r="DG152" s="268"/>
      <c r="DH152" s="268"/>
      <c r="DI152" s="268"/>
      <c r="DJ152" s="268"/>
      <c r="DK152" s="268"/>
      <c r="DL152" s="268"/>
      <c r="DM152" s="268"/>
      <c r="DN152" s="268"/>
      <c r="DO152" s="268"/>
      <c r="DP152" s="268"/>
      <c r="DQ152" s="268"/>
      <c r="DR152" s="268"/>
      <c r="DS152" s="268"/>
      <c r="DT152" s="268"/>
      <c r="DU152" s="268"/>
      <c r="DV152" s="268"/>
      <c r="DW152" s="268"/>
      <c r="DX152" s="268"/>
      <c r="DY152" s="268"/>
      <c r="DZ152" s="268"/>
      <c r="EA152" s="268"/>
      <c r="EB152" s="268"/>
      <c r="EC152" s="268"/>
      <c r="ED152" s="268"/>
      <c r="EE152" s="268"/>
      <c r="EF152" s="268"/>
      <c r="EG152" s="268"/>
    </row>
    <row r="153" spans="1:137" s="283" customFormat="1" ht="18" customHeight="1" x14ac:dyDescent="0.35">
      <c r="A153" s="274">
        <f>MATCH(B153,STUDIES!$A$3:$A$502,0)</f>
        <v>13</v>
      </c>
      <c r="B153" s="270" t="s">
        <v>901</v>
      </c>
      <c r="C153" s="459"/>
      <c r="D153" s="278" t="s">
        <v>1044</v>
      </c>
      <c r="E153" s="270" t="s">
        <v>288</v>
      </c>
      <c r="F153" s="155" t="str">
        <f>_xlfn.XLOOKUP(B153,STUDIES!$A$3:$A$1063,STUDIES!$G$3:$G$1063,"Not Found!")</f>
        <v>A</v>
      </c>
      <c r="G153" s="257" t="s">
        <v>147</v>
      </c>
      <c r="H153" s="257">
        <v>16</v>
      </c>
      <c r="I153" s="257">
        <v>38</v>
      </c>
      <c r="J153" s="258"/>
      <c r="K153" s="259"/>
      <c r="L153" s="259"/>
      <c r="M153" s="259"/>
      <c r="N153" s="259"/>
      <c r="O153" s="259"/>
      <c r="P153" s="259"/>
      <c r="Q153" s="271" t="s">
        <v>90</v>
      </c>
      <c r="R153" s="262">
        <v>-2.2200000000000002</v>
      </c>
      <c r="S153" s="263">
        <v>0.46</v>
      </c>
      <c r="T153" s="259"/>
      <c r="U153" s="259"/>
      <c r="V153" s="259"/>
      <c r="W153" s="259"/>
      <c r="X153" s="264"/>
      <c r="Y153" s="259"/>
      <c r="Z153" s="259"/>
      <c r="AA153" s="259"/>
      <c r="AB153" s="259"/>
      <c r="AC153" s="259"/>
      <c r="AD153" s="264"/>
      <c r="AE153" s="259"/>
      <c r="AF153" s="259"/>
      <c r="AG153" s="259"/>
      <c r="AH153" s="259"/>
      <c r="AI153" s="259"/>
      <c r="AJ153" s="265"/>
      <c r="AK153" s="266"/>
      <c r="AL153" s="266"/>
      <c r="AM153" s="266"/>
      <c r="AN153" s="266"/>
      <c r="AO153" s="267"/>
      <c r="AP153" s="266"/>
      <c r="AQ153" s="266"/>
      <c r="AR153" s="266"/>
      <c r="AS153" s="266"/>
      <c r="AT153" s="266"/>
      <c r="AU153" s="267"/>
      <c r="AV153" s="268"/>
      <c r="AW153" s="268"/>
      <c r="AX153" s="268"/>
      <c r="AY153" s="268"/>
      <c r="AZ153" s="268"/>
      <c r="BA153" s="268"/>
      <c r="BB153" s="268"/>
      <c r="BC153" s="268"/>
      <c r="BD153" s="268"/>
      <c r="BE153" s="268"/>
      <c r="BF153" s="268"/>
      <c r="BG153" s="268"/>
      <c r="BH153" s="268"/>
      <c r="BI153" s="268"/>
      <c r="BJ153" s="268"/>
      <c r="BK153" s="268"/>
      <c r="BL153" s="268"/>
      <c r="BM153" s="268"/>
      <c r="BN153" s="268"/>
      <c r="BO153" s="268"/>
      <c r="BP153" s="268"/>
      <c r="BQ153" s="268"/>
      <c r="BR153" s="268"/>
      <c r="BS153" s="268"/>
      <c r="BT153" s="268"/>
      <c r="BU153" s="268"/>
      <c r="BV153" s="268"/>
      <c r="BW153" s="268"/>
      <c r="BX153" s="268"/>
      <c r="BY153" s="268"/>
      <c r="BZ153" s="268"/>
      <c r="CA153" s="268"/>
      <c r="CB153" s="268"/>
      <c r="CC153" s="268"/>
      <c r="CD153" s="268"/>
      <c r="CE153" s="268"/>
      <c r="CF153" s="268"/>
      <c r="CG153" s="268"/>
      <c r="CH153" s="268"/>
      <c r="CI153" s="268"/>
      <c r="CJ153" s="268"/>
      <c r="CK153" s="268"/>
      <c r="CL153" s="268"/>
      <c r="CM153" s="268"/>
      <c r="CN153" s="268"/>
      <c r="CO153" s="268"/>
      <c r="CP153" s="268"/>
      <c r="CQ153" s="268"/>
      <c r="CR153" s="268"/>
      <c r="CS153" s="268"/>
      <c r="CT153" s="268"/>
      <c r="CU153" s="268"/>
      <c r="CV153" s="268"/>
      <c r="CW153" s="268"/>
      <c r="CX153" s="268"/>
      <c r="CY153" s="268"/>
      <c r="CZ153" s="268"/>
      <c r="DA153" s="268"/>
      <c r="DB153" s="268"/>
      <c r="DC153" s="268"/>
      <c r="DD153" s="268"/>
      <c r="DE153" s="268"/>
      <c r="DF153" s="268"/>
      <c r="DG153" s="268"/>
      <c r="DH153" s="268"/>
      <c r="DI153" s="268"/>
      <c r="DJ153" s="268"/>
      <c r="DK153" s="268"/>
      <c r="DL153" s="268"/>
      <c r="DM153" s="268"/>
      <c r="DN153" s="268"/>
      <c r="DO153" s="268"/>
      <c r="DP153" s="268"/>
      <c r="DQ153" s="268"/>
      <c r="DR153" s="268"/>
      <c r="DS153" s="268"/>
      <c r="DT153" s="268"/>
      <c r="DU153" s="268"/>
      <c r="DV153" s="268"/>
      <c r="DW153" s="268"/>
      <c r="DX153" s="268"/>
      <c r="DY153" s="268"/>
      <c r="DZ153" s="268"/>
      <c r="EA153" s="268"/>
      <c r="EB153" s="268"/>
      <c r="EC153" s="268"/>
      <c r="ED153" s="268"/>
      <c r="EE153" s="268"/>
      <c r="EF153" s="268"/>
      <c r="EG153" s="268"/>
    </row>
    <row r="154" spans="1:137" s="283" customFormat="1" ht="18" customHeight="1" x14ac:dyDescent="0.35">
      <c r="A154" s="274">
        <f>MATCH(B154,STUDIES!$A$3:$A$502,0)</f>
        <v>13</v>
      </c>
      <c r="B154" s="272" t="s">
        <v>901</v>
      </c>
      <c r="C154" s="435"/>
      <c r="D154" s="278" t="s">
        <v>1044</v>
      </c>
      <c r="E154" s="272" t="s">
        <v>1163</v>
      </c>
      <c r="F154" s="155" t="str">
        <f>_xlfn.XLOOKUP(B154,STUDIES!$A$3:$A$1063,STUDIES!$G$3:$G$1063,"Not Found!")</f>
        <v>A</v>
      </c>
      <c r="G154" s="273" t="s">
        <v>147</v>
      </c>
      <c r="H154" s="273">
        <v>16</v>
      </c>
      <c r="I154" s="273">
        <v>38</v>
      </c>
      <c r="J154" s="274">
        <v>5</v>
      </c>
      <c r="K154" s="268"/>
      <c r="L154" s="268"/>
      <c r="M154" s="268"/>
      <c r="N154" s="268"/>
      <c r="O154" s="268"/>
      <c r="P154" s="268"/>
      <c r="Q154" s="275"/>
      <c r="R154" s="276"/>
      <c r="S154" s="268"/>
      <c r="T154" s="268"/>
      <c r="U154" s="268"/>
      <c r="V154" s="268"/>
      <c r="W154" s="268"/>
      <c r="X154" s="276"/>
      <c r="Y154" s="268"/>
      <c r="Z154" s="268"/>
      <c r="AA154" s="268"/>
      <c r="AB154" s="268"/>
      <c r="AC154" s="268"/>
      <c r="AD154" s="276"/>
      <c r="AE154" s="268"/>
      <c r="AF154" s="268"/>
      <c r="AG154" s="268"/>
      <c r="AH154" s="268"/>
      <c r="AI154" s="268"/>
      <c r="AJ154" s="276"/>
      <c r="AK154" s="268"/>
      <c r="AL154" s="268"/>
      <c r="AM154" s="268"/>
      <c r="AN154" s="268"/>
      <c r="AO154" s="275"/>
      <c r="AP154" s="268"/>
      <c r="AQ154" s="268"/>
      <c r="AR154" s="268"/>
      <c r="AS154" s="268"/>
      <c r="AT154" s="268"/>
      <c r="AU154" s="275"/>
      <c r="AV154" s="268"/>
      <c r="AW154" s="268"/>
      <c r="AX154" s="268"/>
      <c r="AY154" s="268"/>
      <c r="AZ154" s="268"/>
      <c r="BA154" s="268"/>
      <c r="BB154" s="268"/>
      <c r="BC154" s="268"/>
      <c r="BD154" s="268"/>
      <c r="BE154" s="268"/>
      <c r="BF154" s="268"/>
      <c r="BG154" s="268"/>
      <c r="BH154" s="268"/>
      <c r="BI154" s="268"/>
      <c r="BJ154" s="268"/>
      <c r="BK154" s="268"/>
      <c r="BL154" s="268"/>
      <c r="BM154" s="268"/>
      <c r="BN154" s="268"/>
      <c r="BO154" s="268"/>
      <c r="BP154" s="268"/>
      <c r="BQ154" s="268"/>
      <c r="BR154" s="268"/>
      <c r="BS154" s="268"/>
      <c r="BT154" s="268"/>
      <c r="BU154" s="268"/>
      <c r="BV154" s="268"/>
      <c r="BW154" s="268"/>
      <c r="BX154" s="268"/>
      <c r="BY154" s="268"/>
      <c r="BZ154" s="268"/>
      <c r="CA154" s="268"/>
      <c r="CB154" s="268"/>
      <c r="CC154" s="268"/>
      <c r="CD154" s="268"/>
      <c r="CE154" s="268"/>
      <c r="CF154" s="268"/>
      <c r="CG154" s="268"/>
      <c r="CH154" s="268"/>
      <c r="CI154" s="268"/>
      <c r="CJ154" s="268"/>
      <c r="CK154" s="268"/>
      <c r="CL154" s="268"/>
      <c r="CM154" s="268"/>
      <c r="CN154" s="268"/>
      <c r="CO154" s="268"/>
      <c r="CP154" s="268"/>
      <c r="CQ154" s="268"/>
      <c r="CR154" s="268"/>
      <c r="CS154" s="268"/>
      <c r="CT154" s="268"/>
      <c r="CU154" s="268"/>
      <c r="CV154" s="268"/>
      <c r="CW154" s="268"/>
      <c r="CX154" s="268"/>
      <c r="CY154" s="268"/>
      <c r="CZ154" s="268"/>
      <c r="DA154" s="268"/>
      <c r="DB154" s="268"/>
      <c r="DC154" s="268"/>
      <c r="DD154" s="268"/>
      <c r="DE154" s="268"/>
      <c r="DF154" s="268"/>
      <c r="DG154" s="268"/>
      <c r="DH154" s="268"/>
      <c r="DI154" s="268"/>
      <c r="DJ154" s="268"/>
      <c r="DK154" s="268"/>
      <c r="DL154" s="268"/>
      <c r="DM154" s="268"/>
      <c r="DN154" s="268"/>
      <c r="DO154" s="268"/>
      <c r="DP154" s="268"/>
      <c r="DQ154" s="268"/>
      <c r="DR154" s="268"/>
      <c r="DS154" s="268"/>
      <c r="DT154" s="268"/>
      <c r="DU154" s="268"/>
      <c r="DV154" s="268"/>
      <c r="DW154" s="268"/>
      <c r="DX154" s="268"/>
      <c r="DY154" s="268"/>
      <c r="DZ154" s="268"/>
      <c r="EA154" s="268"/>
      <c r="EB154" s="268"/>
      <c r="EC154" s="268"/>
      <c r="ED154" s="268"/>
      <c r="EE154" s="268"/>
      <c r="EF154" s="268"/>
      <c r="EG154" s="268"/>
    </row>
    <row r="155" spans="1:137" s="283" customFormat="1" ht="18" customHeight="1" x14ac:dyDescent="0.35">
      <c r="A155" s="274">
        <f>MATCH(B155,STUDIES!$A$3:$A$502,0)</f>
        <v>13</v>
      </c>
      <c r="B155" s="272" t="s">
        <v>901</v>
      </c>
      <c r="C155" s="435"/>
      <c r="D155" s="281" t="s">
        <v>1044</v>
      </c>
      <c r="E155" s="272" t="s">
        <v>1167</v>
      </c>
      <c r="F155" s="155" t="str">
        <f>_xlfn.XLOOKUP(B155,STUDIES!$A$3:$A$1063,STUDIES!$G$3:$G$1063,"Not Found!")</f>
        <v>A</v>
      </c>
      <c r="G155" s="273" t="s">
        <v>147</v>
      </c>
      <c r="H155" s="273">
        <v>16</v>
      </c>
      <c r="I155" s="273">
        <v>38</v>
      </c>
      <c r="J155" s="274">
        <v>5</v>
      </c>
      <c r="K155" s="268"/>
      <c r="L155" s="268"/>
      <c r="M155" s="268"/>
      <c r="N155" s="268"/>
      <c r="O155" s="268"/>
      <c r="P155" s="268"/>
      <c r="Q155" s="275"/>
      <c r="R155" s="276"/>
      <c r="S155" s="268"/>
      <c r="T155" s="268"/>
      <c r="U155" s="268"/>
      <c r="V155" s="268"/>
      <c r="W155" s="268"/>
      <c r="X155" s="276"/>
      <c r="Y155" s="268"/>
      <c r="Z155" s="268"/>
      <c r="AA155" s="268"/>
      <c r="AB155" s="268"/>
      <c r="AC155" s="268"/>
      <c r="AD155" s="276"/>
      <c r="AE155" s="268"/>
      <c r="AF155" s="268"/>
      <c r="AG155" s="268"/>
      <c r="AH155" s="268"/>
      <c r="AI155" s="268"/>
      <c r="AJ155" s="276"/>
      <c r="AK155" s="268"/>
      <c r="AL155" s="268"/>
      <c r="AM155" s="268"/>
      <c r="AN155" s="268"/>
      <c r="AO155" s="275"/>
      <c r="AP155" s="268"/>
      <c r="AQ155" s="268"/>
      <c r="AR155" s="268"/>
      <c r="AS155" s="268"/>
      <c r="AT155" s="268"/>
      <c r="AU155" s="275"/>
      <c r="AV155" s="268"/>
      <c r="AW155" s="268"/>
      <c r="AX155" s="268"/>
      <c r="AY155" s="268"/>
      <c r="AZ155" s="268"/>
      <c r="BA155" s="268"/>
      <c r="BB155" s="268"/>
      <c r="BC155" s="268"/>
      <c r="BD155" s="268"/>
      <c r="BE155" s="268"/>
      <c r="BF155" s="268"/>
      <c r="BG155" s="268"/>
      <c r="BH155" s="268"/>
      <c r="BI155" s="268"/>
      <c r="BJ155" s="268"/>
      <c r="BK155" s="268"/>
      <c r="BL155" s="268"/>
      <c r="BM155" s="268"/>
      <c r="BN155" s="268"/>
      <c r="BO155" s="268"/>
      <c r="BP155" s="268"/>
      <c r="BQ155" s="268"/>
      <c r="BR155" s="268"/>
      <c r="BS155" s="268"/>
      <c r="BT155" s="268"/>
      <c r="BU155" s="268"/>
      <c r="BV155" s="268"/>
      <c r="BW155" s="268"/>
      <c r="BX155" s="268"/>
      <c r="BY155" s="268"/>
      <c r="BZ155" s="268"/>
      <c r="CA155" s="268"/>
      <c r="CB155" s="268"/>
      <c r="CC155" s="268"/>
      <c r="CD155" s="268"/>
      <c r="CE155" s="268"/>
      <c r="CF155" s="268"/>
      <c r="CG155" s="268"/>
      <c r="CH155" s="268"/>
      <c r="CI155" s="268"/>
      <c r="CJ155" s="268"/>
      <c r="CK155" s="268"/>
      <c r="CL155" s="268"/>
      <c r="CM155" s="268"/>
      <c r="CN155" s="268"/>
      <c r="CO155" s="268"/>
      <c r="CP155" s="268"/>
      <c r="CQ155" s="268"/>
      <c r="CR155" s="268"/>
      <c r="CS155" s="268"/>
      <c r="CT155" s="268"/>
      <c r="CU155" s="268"/>
      <c r="CV155" s="268"/>
      <c r="CW155" s="268"/>
      <c r="CX155" s="268"/>
      <c r="CY155" s="268"/>
      <c r="CZ155" s="268"/>
      <c r="DA155" s="268"/>
      <c r="DB155" s="268"/>
      <c r="DC155" s="268"/>
      <c r="DD155" s="268"/>
      <c r="DE155" s="268"/>
      <c r="DF155" s="268"/>
      <c r="DG155" s="268"/>
      <c r="DH155" s="268"/>
      <c r="DI155" s="268"/>
      <c r="DJ155" s="268"/>
      <c r="DK155" s="268"/>
      <c r="DL155" s="268"/>
      <c r="DM155" s="268"/>
      <c r="DN155" s="268"/>
      <c r="DO155" s="268"/>
      <c r="DP155" s="268"/>
      <c r="DQ155" s="268"/>
      <c r="DR155" s="268"/>
      <c r="DS155" s="268"/>
      <c r="DT155" s="268"/>
      <c r="DU155" s="268"/>
      <c r="DV155" s="268"/>
      <c r="DW155" s="268"/>
      <c r="DX155" s="268"/>
      <c r="DY155" s="268"/>
      <c r="DZ155" s="268"/>
      <c r="EA155" s="268"/>
      <c r="EB155" s="268"/>
      <c r="EC155" s="268"/>
      <c r="ED155" s="268"/>
      <c r="EE155" s="268"/>
      <c r="EF155" s="268"/>
      <c r="EG155" s="268"/>
    </row>
    <row r="156" spans="1:137" s="283" customFormat="1" ht="18" customHeight="1" x14ac:dyDescent="0.35">
      <c r="A156" s="274">
        <f>MATCH(B156,STUDIES!$A$3:$A$502,0)</f>
        <v>13</v>
      </c>
      <c r="B156" s="270" t="s">
        <v>901</v>
      </c>
      <c r="C156" s="459"/>
      <c r="D156" s="278" t="s">
        <v>148</v>
      </c>
      <c r="E156" s="270" t="s">
        <v>288</v>
      </c>
      <c r="F156" s="155" t="str">
        <f>_xlfn.XLOOKUP(B156,STUDIES!$A$3:$A$1063,STUDIES!$G$3:$G$1063,"Not Found!")</f>
        <v>A</v>
      </c>
      <c r="G156" s="257" t="s">
        <v>147</v>
      </c>
      <c r="H156" s="257">
        <v>16</v>
      </c>
      <c r="I156" s="257">
        <v>49</v>
      </c>
      <c r="J156" s="258"/>
      <c r="K156" s="259"/>
      <c r="L156" s="259"/>
      <c r="M156" s="259"/>
      <c r="N156" s="259"/>
      <c r="O156" s="259"/>
      <c r="P156" s="259"/>
      <c r="Q156" s="271" t="s">
        <v>90</v>
      </c>
      <c r="R156" s="262">
        <v>-1.72</v>
      </c>
      <c r="S156" s="263">
        <v>0.44</v>
      </c>
      <c r="T156" s="259"/>
      <c r="U156" s="259"/>
      <c r="V156" s="259"/>
      <c r="W156" s="259"/>
      <c r="X156" s="264"/>
      <c r="Y156" s="259"/>
      <c r="Z156" s="259"/>
      <c r="AA156" s="259"/>
      <c r="AB156" s="259"/>
      <c r="AC156" s="259"/>
      <c r="AD156" s="264"/>
      <c r="AE156" s="259"/>
      <c r="AF156" s="259"/>
      <c r="AG156" s="259"/>
      <c r="AH156" s="259"/>
      <c r="AI156" s="259"/>
      <c r="AJ156" s="265"/>
      <c r="AK156" s="266"/>
      <c r="AL156" s="266"/>
      <c r="AM156" s="266"/>
      <c r="AN156" s="266"/>
      <c r="AO156" s="267"/>
      <c r="AP156" s="266"/>
      <c r="AQ156" s="266"/>
      <c r="AR156" s="266"/>
      <c r="AS156" s="266"/>
      <c r="AT156" s="266"/>
      <c r="AU156" s="267"/>
      <c r="AV156" s="268"/>
      <c r="AW156" s="268"/>
      <c r="AX156" s="268"/>
      <c r="AY156" s="268"/>
      <c r="AZ156" s="268"/>
      <c r="BA156" s="268"/>
      <c r="BB156" s="268"/>
      <c r="BC156" s="268"/>
      <c r="BD156" s="268"/>
      <c r="BE156" s="268"/>
      <c r="BF156" s="268"/>
      <c r="BG156" s="268"/>
      <c r="BH156" s="268"/>
      <c r="BI156" s="268"/>
      <c r="BJ156" s="268"/>
      <c r="BK156" s="268"/>
      <c r="BL156" s="268"/>
      <c r="BM156" s="268"/>
      <c r="BN156" s="268"/>
      <c r="BO156" s="268"/>
      <c r="BP156" s="268"/>
      <c r="BQ156" s="268"/>
      <c r="BR156" s="268"/>
      <c r="BS156" s="268"/>
      <c r="BT156" s="268"/>
      <c r="BU156" s="268"/>
      <c r="BV156" s="268"/>
      <c r="BW156" s="268"/>
      <c r="BX156" s="268"/>
      <c r="BY156" s="268"/>
      <c r="BZ156" s="268"/>
      <c r="CA156" s="268"/>
      <c r="CB156" s="268"/>
      <c r="CC156" s="268"/>
      <c r="CD156" s="268"/>
      <c r="CE156" s="268"/>
      <c r="CF156" s="268"/>
      <c r="CG156" s="268"/>
      <c r="CH156" s="268"/>
      <c r="CI156" s="268"/>
      <c r="CJ156" s="268"/>
      <c r="CK156" s="268"/>
      <c r="CL156" s="268"/>
      <c r="CM156" s="268"/>
      <c r="CN156" s="268"/>
      <c r="CO156" s="268"/>
      <c r="CP156" s="268"/>
      <c r="CQ156" s="268"/>
      <c r="CR156" s="268"/>
      <c r="CS156" s="268"/>
      <c r="CT156" s="268"/>
      <c r="CU156" s="268"/>
      <c r="CV156" s="268"/>
      <c r="CW156" s="268"/>
      <c r="CX156" s="268"/>
      <c r="CY156" s="268"/>
      <c r="CZ156" s="268"/>
      <c r="DA156" s="268"/>
      <c r="DB156" s="268"/>
      <c r="DC156" s="268"/>
      <c r="DD156" s="268"/>
      <c r="DE156" s="268"/>
      <c r="DF156" s="268"/>
      <c r="DG156" s="268"/>
      <c r="DH156" s="268"/>
      <c r="DI156" s="268"/>
      <c r="DJ156" s="268"/>
      <c r="DK156" s="268"/>
      <c r="DL156" s="268"/>
      <c r="DM156" s="268"/>
      <c r="DN156" s="268"/>
      <c r="DO156" s="268"/>
      <c r="DP156" s="268"/>
      <c r="DQ156" s="268"/>
      <c r="DR156" s="268"/>
      <c r="DS156" s="268"/>
      <c r="DT156" s="268"/>
      <c r="DU156" s="268"/>
      <c r="DV156" s="268"/>
      <c r="DW156" s="268"/>
      <c r="DX156" s="268"/>
      <c r="DY156" s="268"/>
      <c r="DZ156" s="268"/>
      <c r="EA156" s="268"/>
      <c r="EB156" s="268"/>
      <c r="EC156" s="268"/>
      <c r="ED156" s="268"/>
      <c r="EE156" s="268"/>
      <c r="EF156" s="268"/>
      <c r="EG156" s="268"/>
    </row>
    <row r="157" spans="1:137" s="283" customFormat="1" ht="18" customHeight="1" x14ac:dyDescent="0.35">
      <c r="A157" s="274">
        <f>MATCH(B157,STUDIES!$A$3:$A$502,0)</f>
        <v>13</v>
      </c>
      <c r="B157" s="270" t="s">
        <v>901</v>
      </c>
      <c r="C157" s="459"/>
      <c r="D157" s="269" t="s">
        <v>148</v>
      </c>
      <c r="E157" s="270" t="s">
        <v>154</v>
      </c>
      <c r="F157" s="155" t="str">
        <f>_xlfn.XLOOKUP(B157,STUDIES!$A$3:$A$1063,STUDIES!$G$3:$G$1063,"Not Found!")</f>
        <v>A</v>
      </c>
      <c r="G157" s="257" t="s">
        <v>147</v>
      </c>
      <c r="H157" s="257">
        <v>16</v>
      </c>
      <c r="I157" s="303">
        <v>49</v>
      </c>
      <c r="J157" s="304"/>
      <c r="K157" s="305"/>
      <c r="L157" s="305"/>
      <c r="M157" s="305"/>
      <c r="N157" s="305"/>
      <c r="O157" s="305"/>
      <c r="P157" s="305"/>
      <c r="Q157" s="271" t="s">
        <v>90</v>
      </c>
      <c r="R157" s="262">
        <v>-6.27</v>
      </c>
      <c r="S157" s="259">
        <v>0.82</v>
      </c>
      <c r="T157" s="259"/>
      <c r="U157" s="259"/>
      <c r="V157" s="259"/>
      <c r="W157" s="259"/>
      <c r="X157" s="264"/>
      <c r="Y157" s="259"/>
      <c r="Z157" s="259"/>
      <c r="AA157" s="259"/>
      <c r="AB157" s="259"/>
      <c r="AC157" s="259"/>
      <c r="AD157" s="264"/>
      <c r="AE157" s="259"/>
      <c r="AF157" s="259"/>
      <c r="AG157" s="259"/>
      <c r="AH157" s="259"/>
      <c r="AI157" s="259"/>
      <c r="AJ157" s="265"/>
      <c r="AK157" s="266"/>
      <c r="AL157" s="266"/>
      <c r="AM157" s="266"/>
      <c r="AN157" s="266"/>
      <c r="AO157" s="267"/>
      <c r="AP157" s="266"/>
      <c r="AQ157" s="266"/>
      <c r="AR157" s="266"/>
      <c r="AS157" s="266"/>
      <c r="AT157" s="266"/>
      <c r="AU157" s="267"/>
      <c r="AV157" s="268"/>
      <c r="AW157" s="268"/>
      <c r="AX157" s="268"/>
      <c r="AY157" s="268"/>
      <c r="AZ157" s="268"/>
      <c r="BA157" s="268"/>
      <c r="BB157" s="268"/>
      <c r="BC157" s="268"/>
      <c r="BD157" s="268"/>
      <c r="BE157" s="268"/>
      <c r="BF157" s="268"/>
      <c r="BG157" s="268"/>
      <c r="BH157" s="268"/>
      <c r="BI157" s="268"/>
      <c r="BJ157" s="268"/>
      <c r="BK157" s="268"/>
      <c r="BL157" s="268"/>
      <c r="BM157" s="268"/>
      <c r="BN157" s="268"/>
      <c r="BO157" s="268"/>
      <c r="BP157" s="268"/>
      <c r="BQ157" s="268"/>
      <c r="BR157" s="268"/>
      <c r="BS157" s="268"/>
      <c r="BT157" s="268"/>
      <c r="BU157" s="268"/>
      <c r="BV157" s="268"/>
      <c r="BW157" s="268"/>
      <c r="BX157" s="268"/>
      <c r="BY157" s="268"/>
      <c r="BZ157" s="268"/>
      <c r="CA157" s="268"/>
      <c r="CB157" s="268"/>
      <c r="CC157" s="268"/>
      <c r="CD157" s="268"/>
      <c r="CE157" s="268"/>
      <c r="CF157" s="268"/>
      <c r="CG157" s="268"/>
      <c r="CH157" s="268"/>
      <c r="CI157" s="268"/>
      <c r="CJ157" s="268"/>
      <c r="CK157" s="268"/>
      <c r="CL157" s="268"/>
      <c r="CM157" s="268"/>
      <c r="CN157" s="268"/>
      <c r="CO157" s="268"/>
      <c r="CP157" s="268"/>
      <c r="CQ157" s="268"/>
      <c r="CR157" s="268"/>
      <c r="CS157" s="268"/>
      <c r="CT157" s="268"/>
      <c r="CU157" s="268"/>
      <c r="CV157" s="268"/>
      <c r="CW157" s="268"/>
      <c r="CX157" s="268"/>
      <c r="CY157" s="268"/>
      <c r="CZ157" s="268"/>
      <c r="DA157" s="268"/>
      <c r="DB157" s="268"/>
      <c r="DC157" s="268"/>
      <c r="DD157" s="268"/>
      <c r="DE157" s="268"/>
      <c r="DF157" s="268"/>
      <c r="DG157" s="268"/>
      <c r="DH157" s="268"/>
      <c r="DI157" s="268"/>
      <c r="DJ157" s="268"/>
      <c r="DK157" s="268"/>
      <c r="DL157" s="268"/>
      <c r="DM157" s="268"/>
      <c r="DN157" s="268"/>
      <c r="DO157" s="268"/>
      <c r="DP157" s="268"/>
      <c r="DQ157" s="268"/>
      <c r="DR157" s="268"/>
      <c r="DS157" s="268"/>
      <c r="DT157" s="268"/>
      <c r="DU157" s="268"/>
      <c r="DV157" s="268"/>
      <c r="DW157" s="268"/>
      <c r="DX157" s="268"/>
      <c r="DY157" s="268"/>
      <c r="DZ157" s="268"/>
      <c r="EA157" s="268"/>
      <c r="EB157" s="268"/>
      <c r="EC157" s="268"/>
      <c r="ED157" s="268"/>
      <c r="EE157" s="268"/>
      <c r="EF157" s="268"/>
      <c r="EG157" s="268"/>
    </row>
    <row r="158" spans="1:137" s="283" customFormat="1" ht="18" customHeight="1" x14ac:dyDescent="0.35">
      <c r="A158" s="274">
        <f>MATCH(B158,STUDIES!$A$3:$A$502,0)</f>
        <v>13</v>
      </c>
      <c r="B158" s="270" t="s">
        <v>901</v>
      </c>
      <c r="C158" s="459"/>
      <c r="D158" s="269" t="s">
        <v>148</v>
      </c>
      <c r="E158" s="256" t="s">
        <v>151</v>
      </c>
      <c r="F158" s="155" t="str">
        <f>_xlfn.XLOOKUP(B158,STUDIES!$A$3:$A$1063,STUDIES!$G$3:$G$1063,"Not Found!")</f>
        <v>A</v>
      </c>
      <c r="G158" s="257" t="s">
        <v>147</v>
      </c>
      <c r="H158" s="257">
        <v>16</v>
      </c>
      <c r="I158" s="257">
        <v>49</v>
      </c>
      <c r="J158" s="258"/>
      <c r="K158" s="259"/>
      <c r="L158" s="259"/>
      <c r="M158" s="259"/>
      <c r="N158" s="259"/>
      <c r="O158" s="259"/>
      <c r="P158" s="259"/>
      <c r="Q158" s="271" t="s">
        <v>90</v>
      </c>
      <c r="R158" s="306">
        <v>-10.84</v>
      </c>
      <c r="S158" s="307">
        <v>1.62</v>
      </c>
      <c r="T158" s="259"/>
      <c r="U158" s="259"/>
      <c r="V158" s="259"/>
      <c r="W158" s="259"/>
      <c r="X158" s="264"/>
      <c r="Y158" s="259"/>
      <c r="Z158" s="259"/>
      <c r="AA158" s="259"/>
      <c r="AB158" s="259"/>
      <c r="AC158" s="259"/>
      <c r="AD158" s="264"/>
      <c r="AE158" s="259"/>
      <c r="AF158" s="259"/>
      <c r="AG158" s="259"/>
      <c r="AH158" s="259"/>
      <c r="AI158" s="259"/>
      <c r="AJ158" s="265"/>
      <c r="AK158" s="266"/>
      <c r="AL158" s="266"/>
      <c r="AM158" s="266"/>
      <c r="AN158" s="266"/>
      <c r="AO158" s="267"/>
      <c r="AP158" s="266"/>
      <c r="AQ158" s="266"/>
      <c r="AR158" s="266"/>
      <c r="AS158" s="266"/>
      <c r="AT158" s="266"/>
      <c r="AU158" s="267"/>
      <c r="AV158" s="268"/>
      <c r="AW158" s="268"/>
      <c r="AX158" s="268"/>
      <c r="AY158" s="268"/>
      <c r="AZ158" s="268"/>
      <c r="BA158" s="268"/>
      <c r="BB158" s="268"/>
      <c r="BC158" s="268"/>
      <c r="BD158" s="268"/>
      <c r="BE158" s="268"/>
      <c r="BF158" s="268"/>
      <c r="BG158" s="268"/>
      <c r="BH158" s="268"/>
      <c r="BI158" s="268"/>
      <c r="BJ158" s="268"/>
      <c r="BK158" s="268"/>
      <c r="BL158" s="268"/>
      <c r="BM158" s="268"/>
      <c r="BN158" s="268"/>
      <c r="BO158" s="268"/>
      <c r="BP158" s="268"/>
      <c r="BQ158" s="268"/>
      <c r="BR158" s="268"/>
      <c r="BS158" s="268"/>
      <c r="BT158" s="268"/>
      <c r="BU158" s="268"/>
      <c r="BV158" s="268"/>
      <c r="BW158" s="268"/>
      <c r="BX158" s="268"/>
      <c r="BY158" s="268"/>
      <c r="BZ158" s="268"/>
      <c r="CA158" s="268"/>
      <c r="CB158" s="268"/>
      <c r="CC158" s="268"/>
      <c r="CD158" s="268"/>
      <c r="CE158" s="268"/>
      <c r="CF158" s="268"/>
      <c r="CG158" s="268"/>
      <c r="CH158" s="268"/>
      <c r="CI158" s="268"/>
      <c r="CJ158" s="268"/>
      <c r="CK158" s="268"/>
      <c r="CL158" s="268"/>
      <c r="CM158" s="268"/>
      <c r="CN158" s="268"/>
      <c r="CO158" s="268"/>
      <c r="CP158" s="268"/>
      <c r="CQ158" s="268"/>
      <c r="CR158" s="268"/>
      <c r="CS158" s="268"/>
      <c r="CT158" s="268"/>
      <c r="CU158" s="268"/>
      <c r="CV158" s="268"/>
      <c r="CW158" s="268"/>
      <c r="CX158" s="268"/>
      <c r="CY158" s="268"/>
      <c r="CZ158" s="268"/>
      <c r="DA158" s="268"/>
      <c r="DB158" s="268"/>
      <c r="DC158" s="268"/>
      <c r="DD158" s="268"/>
      <c r="DE158" s="268"/>
      <c r="DF158" s="268"/>
      <c r="DG158" s="268"/>
      <c r="DH158" s="268"/>
      <c r="DI158" s="268"/>
      <c r="DJ158" s="268"/>
      <c r="DK158" s="268"/>
      <c r="DL158" s="268"/>
      <c r="DM158" s="268"/>
      <c r="DN158" s="268"/>
      <c r="DO158" s="268"/>
      <c r="DP158" s="268"/>
      <c r="DQ158" s="268"/>
      <c r="DR158" s="268"/>
      <c r="DS158" s="268"/>
      <c r="DT158" s="268"/>
      <c r="DU158" s="268"/>
      <c r="DV158" s="268"/>
      <c r="DW158" s="268"/>
      <c r="DX158" s="268"/>
      <c r="DY158" s="268"/>
      <c r="DZ158" s="268"/>
      <c r="EA158" s="268"/>
      <c r="EB158" s="268"/>
      <c r="EC158" s="268"/>
      <c r="ED158" s="268"/>
      <c r="EE158" s="268"/>
      <c r="EF158" s="268"/>
      <c r="EG158" s="268"/>
    </row>
    <row r="159" spans="1:137" s="283" customFormat="1" ht="18" customHeight="1" x14ac:dyDescent="0.35">
      <c r="A159" s="274">
        <f>MATCH(B159,STUDIES!$A$3:$A$502,0)</f>
        <v>13</v>
      </c>
      <c r="B159" s="272" t="s">
        <v>901</v>
      </c>
      <c r="C159" s="435"/>
      <c r="D159" s="281" t="s">
        <v>148</v>
      </c>
      <c r="E159" s="272" t="s">
        <v>1163</v>
      </c>
      <c r="F159" s="155" t="str">
        <f>_xlfn.XLOOKUP(B159,STUDIES!$A$3:$A$1063,STUDIES!$G$3:$G$1063,"Not Found!")</f>
        <v>A</v>
      </c>
      <c r="G159" s="273" t="s">
        <v>147</v>
      </c>
      <c r="H159" s="273">
        <v>16</v>
      </c>
      <c r="I159" s="273">
        <v>49</v>
      </c>
      <c r="J159" s="274">
        <v>5</v>
      </c>
      <c r="K159" s="268"/>
      <c r="L159" s="268"/>
      <c r="M159" s="268"/>
      <c r="N159" s="268"/>
      <c r="O159" s="268"/>
      <c r="P159" s="268"/>
      <c r="Q159" s="275"/>
      <c r="R159" s="276"/>
      <c r="S159" s="268"/>
      <c r="T159" s="268"/>
      <c r="U159" s="268"/>
      <c r="V159" s="268"/>
      <c r="W159" s="268"/>
      <c r="X159" s="276"/>
      <c r="Y159" s="268"/>
      <c r="Z159" s="268"/>
      <c r="AA159" s="268"/>
      <c r="AB159" s="268"/>
      <c r="AC159" s="268"/>
      <c r="AD159" s="276"/>
      <c r="AE159" s="268"/>
      <c r="AF159" s="268"/>
      <c r="AG159" s="268"/>
      <c r="AH159" s="268"/>
      <c r="AI159" s="268"/>
      <c r="AJ159" s="276"/>
      <c r="AK159" s="268"/>
      <c r="AL159" s="268"/>
      <c r="AM159" s="268"/>
      <c r="AN159" s="268"/>
      <c r="AO159" s="275"/>
      <c r="AP159" s="268"/>
      <c r="AQ159" s="268"/>
      <c r="AR159" s="268"/>
      <c r="AS159" s="268"/>
      <c r="AT159" s="268"/>
      <c r="AU159" s="275"/>
      <c r="AV159" s="268"/>
      <c r="AW159" s="268"/>
      <c r="AX159" s="268"/>
      <c r="AY159" s="268"/>
      <c r="AZ159" s="268"/>
      <c r="BA159" s="268"/>
      <c r="BB159" s="268"/>
      <c r="BC159" s="268"/>
      <c r="BD159" s="268"/>
      <c r="BE159" s="268"/>
      <c r="BF159" s="268"/>
      <c r="BG159" s="268"/>
      <c r="BH159" s="268"/>
      <c r="BI159" s="268"/>
      <c r="BJ159" s="268"/>
      <c r="BK159" s="268"/>
      <c r="BL159" s="268"/>
      <c r="BM159" s="268"/>
      <c r="BN159" s="268"/>
      <c r="BO159" s="268"/>
      <c r="BP159" s="268"/>
      <c r="BQ159" s="268"/>
      <c r="BR159" s="268"/>
      <c r="BS159" s="268"/>
      <c r="BT159" s="268"/>
      <c r="BU159" s="268"/>
      <c r="BV159" s="268"/>
      <c r="BW159" s="268"/>
      <c r="BX159" s="268"/>
      <c r="BY159" s="268"/>
      <c r="BZ159" s="268"/>
      <c r="CA159" s="268"/>
      <c r="CB159" s="268"/>
      <c r="CC159" s="268"/>
      <c r="CD159" s="268"/>
      <c r="CE159" s="268"/>
      <c r="CF159" s="268"/>
      <c r="CG159" s="268"/>
      <c r="CH159" s="268"/>
      <c r="CI159" s="268"/>
      <c r="CJ159" s="268"/>
      <c r="CK159" s="268"/>
      <c r="CL159" s="268"/>
      <c r="CM159" s="268"/>
      <c r="CN159" s="268"/>
      <c r="CO159" s="268"/>
      <c r="CP159" s="268"/>
      <c r="CQ159" s="268"/>
      <c r="CR159" s="268"/>
      <c r="CS159" s="268"/>
      <c r="CT159" s="268"/>
      <c r="CU159" s="268"/>
      <c r="CV159" s="268"/>
      <c r="CW159" s="268"/>
      <c r="CX159" s="268"/>
      <c r="CY159" s="268"/>
      <c r="CZ159" s="268"/>
      <c r="DA159" s="268"/>
      <c r="DB159" s="268"/>
      <c r="DC159" s="268"/>
      <c r="DD159" s="268"/>
      <c r="DE159" s="268"/>
      <c r="DF159" s="268"/>
      <c r="DG159" s="268"/>
      <c r="DH159" s="268"/>
      <c r="DI159" s="268"/>
      <c r="DJ159" s="268"/>
      <c r="DK159" s="268"/>
      <c r="DL159" s="268"/>
      <c r="DM159" s="268"/>
      <c r="DN159" s="268"/>
      <c r="DO159" s="268"/>
      <c r="DP159" s="268"/>
      <c r="DQ159" s="268"/>
      <c r="DR159" s="268"/>
      <c r="DS159" s="268"/>
      <c r="DT159" s="268"/>
      <c r="DU159" s="268"/>
      <c r="DV159" s="268"/>
      <c r="DW159" s="268"/>
      <c r="DX159" s="268"/>
      <c r="DY159" s="268"/>
      <c r="DZ159" s="268"/>
      <c r="EA159" s="268"/>
      <c r="EB159" s="268"/>
      <c r="EC159" s="268"/>
      <c r="ED159" s="268"/>
      <c r="EE159" s="268"/>
      <c r="EF159" s="268"/>
      <c r="EG159" s="268"/>
    </row>
    <row r="160" spans="1:137" s="283" customFormat="1" ht="18" customHeight="1" x14ac:dyDescent="0.35">
      <c r="A160" s="274">
        <f>MATCH(B160,STUDIES!$A$3:$A$502,0)</f>
        <v>13</v>
      </c>
      <c r="B160" s="272" t="s">
        <v>901</v>
      </c>
      <c r="C160" s="435"/>
      <c r="D160" s="281" t="s">
        <v>148</v>
      </c>
      <c r="E160" s="272" t="s">
        <v>1167</v>
      </c>
      <c r="F160" s="155" t="str">
        <f>_xlfn.XLOOKUP(B160,STUDIES!$A$3:$A$1063,STUDIES!$G$3:$G$1063,"Not Found!")</f>
        <v>A</v>
      </c>
      <c r="G160" s="273" t="s">
        <v>147</v>
      </c>
      <c r="H160" s="273">
        <v>16</v>
      </c>
      <c r="I160" s="273">
        <v>49</v>
      </c>
      <c r="J160" s="274">
        <v>5</v>
      </c>
      <c r="K160" s="268"/>
      <c r="L160" s="268"/>
      <c r="M160" s="268"/>
      <c r="N160" s="268"/>
      <c r="O160" s="268"/>
      <c r="P160" s="268"/>
      <c r="Q160" s="275"/>
      <c r="R160" s="276"/>
      <c r="S160" s="268"/>
      <c r="T160" s="268"/>
      <c r="U160" s="268"/>
      <c r="V160" s="268"/>
      <c r="W160" s="268"/>
      <c r="X160" s="276"/>
      <c r="Y160" s="268"/>
      <c r="Z160" s="268"/>
      <c r="AA160" s="268"/>
      <c r="AB160" s="268"/>
      <c r="AC160" s="268"/>
      <c r="AD160" s="276"/>
      <c r="AE160" s="268"/>
      <c r="AF160" s="268"/>
      <c r="AG160" s="268"/>
      <c r="AH160" s="268"/>
      <c r="AI160" s="268"/>
      <c r="AJ160" s="276"/>
      <c r="AK160" s="268"/>
      <c r="AL160" s="268"/>
      <c r="AM160" s="268"/>
      <c r="AN160" s="268"/>
      <c r="AO160" s="275"/>
      <c r="AP160" s="268"/>
      <c r="AQ160" s="268"/>
      <c r="AR160" s="268"/>
      <c r="AS160" s="268"/>
      <c r="AT160" s="268"/>
      <c r="AU160" s="275"/>
      <c r="AV160" s="268"/>
      <c r="AW160" s="268"/>
      <c r="AX160" s="268"/>
      <c r="AY160" s="268"/>
      <c r="AZ160" s="268"/>
      <c r="BA160" s="268"/>
      <c r="BB160" s="268"/>
      <c r="BC160" s="268"/>
      <c r="BD160" s="268"/>
      <c r="BE160" s="268"/>
      <c r="BF160" s="268"/>
      <c r="BG160" s="268"/>
      <c r="BH160" s="268"/>
      <c r="BI160" s="268"/>
      <c r="BJ160" s="268"/>
      <c r="BK160" s="268"/>
      <c r="BL160" s="268"/>
      <c r="BM160" s="268"/>
      <c r="BN160" s="268"/>
      <c r="BO160" s="268"/>
      <c r="BP160" s="268"/>
      <c r="BQ160" s="268"/>
      <c r="BR160" s="268"/>
      <c r="BS160" s="268"/>
      <c r="BT160" s="268"/>
      <c r="BU160" s="268"/>
      <c r="BV160" s="268"/>
      <c r="BW160" s="268"/>
      <c r="BX160" s="268"/>
      <c r="BY160" s="268"/>
      <c r="BZ160" s="268"/>
      <c r="CA160" s="268"/>
      <c r="CB160" s="268"/>
      <c r="CC160" s="268"/>
      <c r="CD160" s="268"/>
      <c r="CE160" s="268"/>
      <c r="CF160" s="268"/>
      <c r="CG160" s="268"/>
      <c r="CH160" s="268"/>
      <c r="CI160" s="268"/>
      <c r="CJ160" s="268"/>
      <c r="CK160" s="268"/>
      <c r="CL160" s="268"/>
      <c r="CM160" s="268"/>
      <c r="CN160" s="268"/>
      <c r="CO160" s="268"/>
      <c r="CP160" s="268"/>
      <c r="CQ160" s="268"/>
      <c r="CR160" s="268"/>
      <c r="CS160" s="268"/>
      <c r="CT160" s="268"/>
      <c r="CU160" s="268"/>
      <c r="CV160" s="268"/>
      <c r="CW160" s="268"/>
      <c r="CX160" s="268"/>
      <c r="CY160" s="268"/>
      <c r="CZ160" s="268"/>
      <c r="DA160" s="268"/>
      <c r="DB160" s="268"/>
      <c r="DC160" s="268"/>
      <c r="DD160" s="268"/>
      <c r="DE160" s="268"/>
      <c r="DF160" s="268"/>
      <c r="DG160" s="268"/>
      <c r="DH160" s="268"/>
      <c r="DI160" s="268"/>
      <c r="DJ160" s="268"/>
      <c r="DK160" s="268"/>
      <c r="DL160" s="268"/>
      <c r="DM160" s="268"/>
      <c r="DN160" s="268"/>
      <c r="DO160" s="268"/>
      <c r="DP160" s="268"/>
      <c r="DQ160" s="268"/>
      <c r="DR160" s="268"/>
      <c r="DS160" s="268"/>
      <c r="DT160" s="268"/>
      <c r="DU160" s="268"/>
      <c r="DV160" s="268"/>
      <c r="DW160" s="268"/>
      <c r="DX160" s="268"/>
      <c r="DY160" s="268"/>
      <c r="DZ160" s="268"/>
      <c r="EA160" s="268"/>
      <c r="EB160" s="268"/>
      <c r="EC160" s="268"/>
      <c r="ED160" s="268"/>
      <c r="EE160" s="268"/>
      <c r="EF160" s="268"/>
      <c r="EG160" s="268"/>
    </row>
    <row r="161" spans="1:137" s="283" customFormat="1" ht="18" customHeight="1" x14ac:dyDescent="0.35">
      <c r="A161" s="274">
        <f>MATCH(B161,STUDIES!$A$3:$A$502,0)</f>
        <v>14</v>
      </c>
      <c r="B161" s="270" t="s">
        <v>411</v>
      </c>
      <c r="C161" s="459"/>
      <c r="D161" s="278" t="s">
        <v>1061</v>
      </c>
      <c r="E161" s="256" t="s">
        <v>297</v>
      </c>
      <c r="F161" s="155" t="str">
        <f>_xlfn.XLOOKUP(B161,STUDIES!$A$3:$A$1063,STUDIES!$G$3:$G$1063,"Not Found!")</f>
        <v>A</v>
      </c>
      <c r="G161" s="257" t="s">
        <v>147</v>
      </c>
      <c r="H161" s="257">
        <v>12</v>
      </c>
      <c r="I161" s="257">
        <v>40</v>
      </c>
      <c r="J161" s="258"/>
      <c r="K161" s="259"/>
      <c r="L161" s="259"/>
      <c r="M161" s="259"/>
      <c r="N161" s="259"/>
      <c r="O161" s="259"/>
      <c r="P161" s="259"/>
      <c r="Q161" s="271" t="s">
        <v>90</v>
      </c>
      <c r="R161" s="264">
        <v>-1.5874999999999999</v>
      </c>
      <c r="S161" s="259"/>
      <c r="T161" s="259">
        <v>2.7071782546711076</v>
      </c>
      <c r="U161" s="259"/>
      <c r="V161" s="259"/>
      <c r="W161" s="259"/>
      <c r="X161" s="264"/>
      <c r="Y161" s="259"/>
      <c r="Z161" s="259"/>
      <c r="AA161" s="259"/>
      <c r="AB161" s="259"/>
      <c r="AC161" s="259"/>
      <c r="AD161" s="264"/>
      <c r="AE161" s="259"/>
      <c r="AF161" s="259"/>
      <c r="AG161" s="259"/>
      <c r="AH161" s="259"/>
      <c r="AI161" s="259"/>
      <c r="AJ161" s="265"/>
      <c r="AK161" s="266"/>
      <c r="AL161" s="266"/>
      <c r="AM161" s="266"/>
      <c r="AN161" s="266"/>
      <c r="AO161" s="267"/>
      <c r="AP161" s="266"/>
      <c r="AQ161" s="266"/>
      <c r="AR161" s="266"/>
      <c r="AS161" s="266"/>
      <c r="AT161" s="266"/>
      <c r="AU161" s="267"/>
      <c r="AV161" s="268"/>
      <c r="AW161" s="268"/>
      <c r="AX161" s="268"/>
      <c r="AY161" s="268"/>
      <c r="AZ161" s="268"/>
      <c r="BA161" s="268"/>
      <c r="BB161" s="268"/>
      <c r="BC161" s="268"/>
      <c r="BD161" s="268"/>
      <c r="BE161" s="268"/>
      <c r="BF161" s="268"/>
      <c r="BG161" s="268"/>
      <c r="BH161" s="268"/>
      <c r="BI161" s="268"/>
      <c r="BJ161" s="268"/>
      <c r="BK161" s="268"/>
      <c r="BL161" s="268"/>
      <c r="BM161" s="268"/>
      <c r="BN161" s="268"/>
      <c r="BO161" s="268"/>
      <c r="BP161" s="268"/>
      <c r="BQ161" s="268"/>
      <c r="BR161" s="268"/>
      <c r="BS161" s="268"/>
      <c r="BT161" s="268"/>
      <c r="BU161" s="268"/>
      <c r="BV161" s="268"/>
      <c r="BW161" s="268"/>
      <c r="BX161" s="268"/>
      <c r="BY161" s="268"/>
      <c r="BZ161" s="268"/>
      <c r="CA161" s="268"/>
      <c r="CB161" s="268"/>
      <c r="CC161" s="268"/>
      <c r="CD161" s="268"/>
      <c r="CE161" s="268"/>
      <c r="CF161" s="268"/>
      <c r="CG161" s="268"/>
      <c r="CH161" s="268"/>
      <c r="CI161" s="268"/>
      <c r="CJ161" s="268"/>
      <c r="CK161" s="268"/>
      <c r="CL161" s="268"/>
      <c r="CM161" s="268"/>
      <c r="CN161" s="268"/>
      <c r="CO161" s="268"/>
      <c r="CP161" s="268"/>
      <c r="CQ161" s="268"/>
      <c r="CR161" s="268"/>
      <c r="CS161" s="268"/>
      <c r="CT161" s="268"/>
      <c r="CU161" s="268"/>
      <c r="CV161" s="268"/>
      <c r="CW161" s="268"/>
      <c r="CX161" s="268"/>
      <c r="CY161" s="268"/>
      <c r="CZ161" s="268"/>
      <c r="DA161" s="268"/>
      <c r="DB161" s="268"/>
      <c r="DC161" s="268"/>
      <c r="DD161" s="268"/>
      <c r="DE161" s="268"/>
      <c r="DF161" s="268"/>
      <c r="DG161" s="268"/>
      <c r="DH161" s="268"/>
      <c r="DI161" s="268"/>
      <c r="DJ161" s="268"/>
      <c r="DK161" s="268"/>
      <c r="DL161" s="268"/>
      <c r="DM161" s="268"/>
      <c r="DN161" s="268"/>
      <c r="DO161" s="268"/>
      <c r="DP161" s="268"/>
      <c r="DQ161" s="268"/>
      <c r="DR161" s="268"/>
      <c r="DS161" s="268"/>
      <c r="DT161" s="268"/>
      <c r="DU161" s="268"/>
      <c r="DV161" s="268"/>
      <c r="DW161" s="268"/>
      <c r="DX161" s="268"/>
      <c r="DY161" s="268"/>
      <c r="DZ161" s="268"/>
      <c r="EA161" s="268"/>
      <c r="EB161" s="268"/>
      <c r="EC161" s="268"/>
      <c r="ED161" s="268"/>
      <c r="EE161" s="268"/>
      <c r="EF161" s="268"/>
      <c r="EG161" s="268"/>
    </row>
    <row r="162" spans="1:137" s="283" customFormat="1" ht="18" customHeight="1" x14ac:dyDescent="0.35">
      <c r="A162" s="274">
        <f>MATCH(B162,STUDIES!$A$3:$A$502,0)</f>
        <v>14</v>
      </c>
      <c r="B162" s="272" t="s">
        <v>411</v>
      </c>
      <c r="C162" s="435"/>
      <c r="D162" s="278" t="s">
        <v>1061</v>
      </c>
      <c r="E162" s="272" t="s">
        <v>1163</v>
      </c>
      <c r="F162" s="155" t="str">
        <f>_xlfn.XLOOKUP(B162,STUDIES!$A$3:$A$1063,STUDIES!$G$3:$G$1063,"Not Found!")</f>
        <v>A</v>
      </c>
      <c r="G162" s="273" t="s">
        <v>147</v>
      </c>
      <c r="H162" s="273">
        <v>12</v>
      </c>
      <c r="I162" s="273">
        <v>40</v>
      </c>
      <c r="J162" s="274">
        <v>2</v>
      </c>
      <c r="K162" s="268"/>
      <c r="L162" s="268"/>
      <c r="M162" s="268"/>
      <c r="N162" s="268"/>
      <c r="O162" s="268"/>
      <c r="P162" s="268"/>
      <c r="Q162" s="275"/>
      <c r="R162" s="276"/>
      <c r="S162" s="268"/>
      <c r="T162" s="268"/>
      <c r="U162" s="268"/>
      <c r="V162" s="268"/>
      <c r="W162" s="268"/>
      <c r="X162" s="276"/>
      <c r="Y162" s="268"/>
      <c r="Z162" s="268"/>
      <c r="AA162" s="268"/>
      <c r="AB162" s="268"/>
      <c r="AC162" s="268"/>
      <c r="AD162" s="276"/>
      <c r="AE162" s="268"/>
      <c r="AF162" s="268"/>
      <c r="AG162" s="268"/>
      <c r="AH162" s="268"/>
      <c r="AI162" s="268"/>
      <c r="AJ162" s="276"/>
      <c r="AK162" s="268"/>
      <c r="AL162" s="268"/>
      <c r="AM162" s="268"/>
      <c r="AN162" s="268"/>
      <c r="AO162" s="275"/>
      <c r="AP162" s="268"/>
      <c r="AQ162" s="268"/>
      <c r="AR162" s="268"/>
      <c r="AS162" s="268"/>
      <c r="AT162" s="268"/>
      <c r="AU162" s="275"/>
      <c r="AV162" s="268"/>
      <c r="AW162" s="268"/>
      <c r="AX162" s="268"/>
      <c r="AY162" s="268"/>
      <c r="AZ162" s="268"/>
      <c r="BA162" s="268"/>
      <c r="BB162" s="268"/>
      <c r="BC162" s="268"/>
      <c r="BD162" s="268"/>
      <c r="BE162" s="268"/>
      <c r="BF162" s="268"/>
      <c r="BG162" s="268"/>
      <c r="BH162" s="268"/>
      <c r="BI162" s="268"/>
      <c r="BJ162" s="268"/>
      <c r="BK162" s="268"/>
      <c r="BL162" s="268"/>
      <c r="BM162" s="268"/>
      <c r="BN162" s="268"/>
      <c r="BO162" s="268"/>
      <c r="BP162" s="268"/>
      <c r="BQ162" s="268"/>
      <c r="BR162" s="268"/>
      <c r="BS162" s="268"/>
      <c r="BT162" s="268"/>
      <c r="BU162" s="268"/>
      <c r="BV162" s="268"/>
      <c r="BW162" s="268"/>
      <c r="BX162" s="268"/>
      <c r="BY162" s="268"/>
      <c r="BZ162" s="268"/>
      <c r="CA162" s="268"/>
      <c r="CB162" s="268"/>
      <c r="CC162" s="268"/>
      <c r="CD162" s="268"/>
      <c r="CE162" s="268"/>
      <c r="CF162" s="268"/>
      <c r="CG162" s="268"/>
      <c r="CH162" s="268"/>
      <c r="CI162" s="268"/>
      <c r="CJ162" s="268"/>
      <c r="CK162" s="268"/>
      <c r="CL162" s="268"/>
      <c r="CM162" s="268"/>
      <c r="CN162" s="268"/>
      <c r="CO162" s="268"/>
      <c r="CP162" s="268"/>
      <c r="CQ162" s="268"/>
      <c r="CR162" s="268"/>
      <c r="CS162" s="268"/>
      <c r="CT162" s="268"/>
      <c r="CU162" s="268"/>
      <c r="CV162" s="268"/>
      <c r="CW162" s="268"/>
      <c r="CX162" s="268"/>
      <c r="CY162" s="268"/>
      <c r="CZ162" s="268"/>
      <c r="DA162" s="268"/>
      <c r="DB162" s="268"/>
      <c r="DC162" s="268"/>
      <c r="DD162" s="268"/>
      <c r="DE162" s="268"/>
      <c r="DF162" s="268"/>
      <c r="DG162" s="268"/>
      <c r="DH162" s="268"/>
      <c r="DI162" s="268"/>
      <c r="DJ162" s="268"/>
      <c r="DK162" s="268"/>
      <c r="DL162" s="268"/>
      <c r="DM162" s="268"/>
      <c r="DN162" s="268"/>
      <c r="DO162" s="268"/>
      <c r="DP162" s="268"/>
      <c r="DQ162" s="268"/>
      <c r="DR162" s="268"/>
      <c r="DS162" s="268"/>
      <c r="DT162" s="268"/>
      <c r="DU162" s="268"/>
      <c r="DV162" s="268"/>
      <c r="DW162" s="268"/>
      <c r="DX162" s="268"/>
      <c r="DY162" s="268"/>
      <c r="DZ162" s="268"/>
      <c r="EA162" s="268"/>
      <c r="EB162" s="268"/>
      <c r="EC162" s="268"/>
      <c r="ED162" s="268"/>
      <c r="EE162" s="268"/>
      <c r="EF162" s="268"/>
      <c r="EG162" s="268"/>
    </row>
    <row r="163" spans="1:137" s="283" customFormat="1" ht="18" customHeight="1" x14ac:dyDescent="0.35">
      <c r="A163" s="274">
        <f>MATCH(B163,STUDIES!$A$3:$A$502,0)</f>
        <v>14</v>
      </c>
      <c r="B163" s="272" t="s">
        <v>411</v>
      </c>
      <c r="C163" s="435"/>
      <c r="D163" s="281" t="s">
        <v>1061</v>
      </c>
      <c r="E163" s="272" t="s">
        <v>1167</v>
      </c>
      <c r="F163" s="155" t="str">
        <f>_xlfn.XLOOKUP(B163,STUDIES!$A$3:$A$1063,STUDIES!$G$3:$G$1063,"Not Found!")</f>
        <v>A</v>
      </c>
      <c r="G163" s="273" t="s">
        <v>147</v>
      </c>
      <c r="H163" s="273">
        <v>12</v>
      </c>
      <c r="I163" s="273">
        <v>40</v>
      </c>
      <c r="J163" s="274">
        <v>2</v>
      </c>
      <c r="K163" s="268"/>
      <c r="L163" s="268"/>
      <c r="M163" s="268"/>
      <c r="N163" s="268"/>
      <c r="O163" s="268"/>
      <c r="P163" s="268"/>
      <c r="Q163" s="275"/>
      <c r="R163" s="276"/>
      <c r="S163" s="268"/>
      <c r="T163" s="268"/>
      <c r="U163" s="268"/>
      <c r="V163" s="268"/>
      <c r="W163" s="268"/>
      <c r="X163" s="276"/>
      <c r="Y163" s="268"/>
      <c r="Z163" s="268"/>
      <c r="AA163" s="268"/>
      <c r="AB163" s="268"/>
      <c r="AC163" s="268"/>
      <c r="AD163" s="276"/>
      <c r="AE163" s="268"/>
      <c r="AF163" s="268"/>
      <c r="AG163" s="268"/>
      <c r="AH163" s="268"/>
      <c r="AI163" s="268"/>
      <c r="AJ163" s="276"/>
      <c r="AK163" s="268"/>
      <c r="AL163" s="268"/>
      <c r="AM163" s="268"/>
      <c r="AN163" s="268"/>
      <c r="AO163" s="275"/>
      <c r="AP163" s="268"/>
      <c r="AQ163" s="268"/>
      <c r="AR163" s="268"/>
      <c r="AS163" s="268"/>
      <c r="AT163" s="268"/>
      <c r="AU163" s="275"/>
      <c r="AV163" s="268"/>
      <c r="AW163" s="268"/>
      <c r="AX163" s="268"/>
      <c r="AY163" s="268"/>
      <c r="AZ163" s="268"/>
      <c r="BA163" s="268"/>
      <c r="BB163" s="268"/>
      <c r="BC163" s="268"/>
      <c r="BD163" s="268"/>
      <c r="BE163" s="268"/>
      <c r="BF163" s="268"/>
      <c r="BG163" s="268"/>
      <c r="BH163" s="268"/>
      <c r="BI163" s="268"/>
      <c r="BJ163" s="268"/>
      <c r="BK163" s="268"/>
      <c r="BL163" s="268"/>
      <c r="BM163" s="268"/>
      <c r="BN163" s="268"/>
      <c r="BO163" s="268"/>
      <c r="BP163" s="268"/>
      <c r="BQ163" s="268"/>
      <c r="BR163" s="268"/>
      <c r="BS163" s="268"/>
      <c r="BT163" s="268"/>
      <c r="BU163" s="268"/>
      <c r="BV163" s="268"/>
      <c r="BW163" s="268"/>
      <c r="BX163" s="268"/>
      <c r="BY163" s="268"/>
      <c r="BZ163" s="268"/>
      <c r="CA163" s="268"/>
      <c r="CB163" s="268"/>
      <c r="CC163" s="268"/>
      <c r="CD163" s="268"/>
      <c r="CE163" s="268"/>
      <c r="CF163" s="268"/>
      <c r="CG163" s="268"/>
      <c r="CH163" s="268"/>
      <c r="CI163" s="268"/>
      <c r="CJ163" s="268"/>
      <c r="CK163" s="268"/>
      <c r="CL163" s="268"/>
      <c r="CM163" s="268"/>
      <c r="CN163" s="268"/>
      <c r="CO163" s="268"/>
      <c r="CP163" s="268"/>
      <c r="CQ163" s="268"/>
      <c r="CR163" s="268"/>
      <c r="CS163" s="268"/>
      <c r="CT163" s="268"/>
      <c r="CU163" s="268"/>
      <c r="CV163" s="268"/>
      <c r="CW163" s="268"/>
      <c r="CX163" s="268"/>
      <c r="CY163" s="268"/>
      <c r="CZ163" s="268"/>
      <c r="DA163" s="268"/>
      <c r="DB163" s="268"/>
      <c r="DC163" s="268"/>
      <c r="DD163" s="268"/>
      <c r="DE163" s="268"/>
      <c r="DF163" s="268"/>
      <c r="DG163" s="268"/>
      <c r="DH163" s="268"/>
      <c r="DI163" s="268"/>
      <c r="DJ163" s="268"/>
      <c r="DK163" s="268"/>
      <c r="DL163" s="268"/>
      <c r="DM163" s="268"/>
      <c r="DN163" s="268"/>
      <c r="DO163" s="268"/>
      <c r="DP163" s="268"/>
      <c r="DQ163" s="268"/>
      <c r="DR163" s="268"/>
      <c r="DS163" s="268"/>
      <c r="DT163" s="268"/>
      <c r="DU163" s="268"/>
      <c r="DV163" s="268"/>
      <c r="DW163" s="268"/>
      <c r="DX163" s="268"/>
      <c r="DY163" s="268"/>
      <c r="DZ163" s="268"/>
      <c r="EA163" s="268"/>
      <c r="EB163" s="268"/>
      <c r="EC163" s="268"/>
      <c r="ED163" s="268"/>
      <c r="EE163" s="268"/>
      <c r="EF163" s="268"/>
      <c r="EG163" s="268"/>
    </row>
    <row r="164" spans="1:137" s="283" customFormat="1" ht="18" customHeight="1" x14ac:dyDescent="0.35">
      <c r="A164" s="274">
        <f>MATCH(B164,STUDIES!$A$3:$A$502,0)</f>
        <v>14</v>
      </c>
      <c r="B164" s="270" t="s">
        <v>411</v>
      </c>
      <c r="C164" s="459"/>
      <c r="D164" s="278" t="s">
        <v>148</v>
      </c>
      <c r="E164" s="256" t="s">
        <v>297</v>
      </c>
      <c r="F164" s="155" t="str">
        <f>_xlfn.XLOOKUP(B164,STUDIES!$A$3:$A$1063,STUDIES!$G$3:$G$1063,"Not Found!")</f>
        <v>A</v>
      </c>
      <c r="G164" s="257" t="s">
        <v>147</v>
      </c>
      <c r="H164" s="257">
        <v>12</v>
      </c>
      <c r="I164" s="257">
        <v>20</v>
      </c>
      <c r="J164" s="258"/>
      <c r="K164" s="259"/>
      <c r="L164" s="259"/>
      <c r="M164" s="259"/>
      <c r="N164" s="259"/>
      <c r="O164" s="259"/>
      <c r="P164" s="259"/>
      <c r="Q164" s="271" t="s">
        <v>90</v>
      </c>
      <c r="R164" s="264">
        <v>-2.0099999999999998</v>
      </c>
      <c r="S164" s="259"/>
      <c r="T164" s="259">
        <v>3.2704256925553765</v>
      </c>
      <c r="U164" s="259"/>
      <c r="V164" s="259"/>
      <c r="W164" s="259"/>
      <c r="X164" s="264"/>
      <c r="Y164" s="259"/>
      <c r="Z164" s="259"/>
      <c r="AA164" s="259"/>
      <c r="AB164" s="259"/>
      <c r="AC164" s="259"/>
      <c r="AD164" s="264"/>
      <c r="AE164" s="259"/>
      <c r="AF164" s="259"/>
      <c r="AG164" s="259"/>
      <c r="AH164" s="259"/>
      <c r="AI164" s="259"/>
      <c r="AJ164" s="265"/>
      <c r="AK164" s="266"/>
      <c r="AL164" s="266"/>
      <c r="AM164" s="266"/>
      <c r="AN164" s="266"/>
      <c r="AO164" s="267"/>
      <c r="AP164" s="266"/>
      <c r="AQ164" s="266"/>
      <c r="AR164" s="266"/>
      <c r="AS164" s="266"/>
      <c r="AT164" s="266"/>
      <c r="AU164" s="267"/>
      <c r="AV164" s="268"/>
      <c r="AW164" s="268"/>
      <c r="AX164" s="268"/>
      <c r="AY164" s="268"/>
      <c r="AZ164" s="268"/>
      <c r="BA164" s="268"/>
      <c r="BB164" s="268"/>
      <c r="BC164" s="268"/>
      <c r="BD164" s="268"/>
      <c r="BE164" s="268"/>
      <c r="BF164" s="268"/>
      <c r="BG164" s="268"/>
      <c r="BH164" s="268"/>
      <c r="BI164" s="268"/>
      <c r="BJ164" s="268"/>
      <c r="BK164" s="268"/>
      <c r="BL164" s="268"/>
      <c r="BM164" s="268"/>
      <c r="BN164" s="268"/>
      <c r="BO164" s="268"/>
      <c r="BP164" s="268"/>
      <c r="BQ164" s="268"/>
      <c r="BR164" s="268"/>
      <c r="BS164" s="268"/>
      <c r="BT164" s="268"/>
      <c r="BU164" s="268"/>
      <c r="BV164" s="268"/>
      <c r="BW164" s="268"/>
      <c r="BX164" s="268"/>
      <c r="BY164" s="268"/>
      <c r="BZ164" s="268"/>
      <c r="CA164" s="268"/>
      <c r="CB164" s="268"/>
      <c r="CC164" s="268"/>
      <c r="CD164" s="268"/>
      <c r="CE164" s="268"/>
      <c r="CF164" s="268"/>
      <c r="CG164" s="268"/>
      <c r="CH164" s="268"/>
      <c r="CI164" s="268"/>
      <c r="CJ164" s="268"/>
      <c r="CK164" s="268"/>
      <c r="CL164" s="268"/>
      <c r="CM164" s="268"/>
      <c r="CN164" s="268"/>
      <c r="CO164" s="268"/>
      <c r="CP164" s="268"/>
      <c r="CQ164" s="268"/>
      <c r="CR164" s="268"/>
      <c r="CS164" s="268"/>
      <c r="CT164" s="268"/>
      <c r="CU164" s="268"/>
      <c r="CV164" s="268"/>
      <c r="CW164" s="268"/>
      <c r="CX164" s="268"/>
      <c r="CY164" s="268"/>
      <c r="CZ164" s="268"/>
      <c r="DA164" s="268"/>
      <c r="DB164" s="268"/>
      <c r="DC164" s="268"/>
      <c r="DD164" s="268"/>
      <c r="DE164" s="268"/>
      <c r="DF164" s="268"/>
      <c r="DG164" s="268"/>
      <c r="DH164" s="268"/>
      <c r="DI164" s="268"/>
      <c r="DJ164" s="268"/>
      <c r="DK164" s="268"/>
      <c r="DL164" s="268"/>
      <c r="DM164" s="268"/>
      <c r="DN164" s="268"/>
      <c r="DO164" s="268"/>
      <c r="DP164" s="268"/>
      <c r="DQ164" s="268"/>
      <c r="DR164" s="268"/>
      <c r="DS164" s="268"/>
      <c r="DT164" s="268"/>
      <c r="DU164" s="268"/>
      <c r="DV164" s="268"/>
      <c r="DW164" s="268"/>
      <c r="DX164" s="268"/>
      <c r="DY164" s="268"/>
      <c r="DZ164" s="268"/>
      <c r="EA164" s="268"/>
      <c r="EB164" s="268"/>
      <c r="EC164" s="268"/>
      <c r="ED164" s="268"/>
      <c r="EE164" s="268"/>
      <c r="EF164" s="268"/>
      <c r="EG164" s="268"/>
    </row>
    <row r="165" spans="1:137" s="283" customFormat="1" ht="18" customHeight="1" x14ac:dyDescent="0.35">
      <c r="A165" s="274">
        <f>MATCH(B165,STUDIES!$A$3:$A$502,0)</f>
        <v>14</v>
      </c>
      <c r="B165" s="272" t="s">
        <v>411</v>
      </c>
      <c r="C165" s="435"/>
      <c r="D165" s="281" t="s">
        <v>148</v>
      </c>
      <c r="E165" s="272" t="s">
        <v>1163</v>
      </c>
      <c r="F165" s="155" t="str">
        <f>_xlfn.XLOOKUP(B165,STUDIES!$A$3:$A$1063,STUDIES!$G$3:$G$1063,"Not Found!")</f>
        <v>A</v>
      </c>
      <c r="G165" s="273" t="s">
        <v>147</v>
      </c>
      <c r="H165" s="273">
        <v>12</v>
      </c>
      <c r="I165" s="273">
        <v>20</v>
      </c>
      <c r="J165" s="274">
        <v>0</v>
      </c>
      <c r="K165" s="268"/>
      <c r="L165" s="268"/>
      <c r="M165" s="268"/>
      <c r="N165" s="268"/>
      <c r="O165" s="268"/>
      <c r="P165" s="268"/>
      <c r="Q165" s="275"/>
      <c r="R165" s="276"/>
      <c r="S165" s="268"/>
      <c r="T165" s="268"/>
      <c r="U165" s="268"/>
      <c r="V165" s="268"/>
      <c r="W165" s="268"/>
      <c r="X165" s="276"/>
      <c r="Y165" s="268"/>
      <c r="Z165" s="268"/>
      <c r="AA165" s="268"/>
      <c r="AB165" s="268"/>
      <c r="AC165" s="268"/>
      <c r="AD165" s="276"/>
      <c r="AE165" s="268"/>
      <c r="AF165" s="268"/>
      <c r="AG165" s="268"/>
      <c r="AH165" s="268"/>
      <c r="AI165" s="268"/>
      <c r="AJ165" s="276"/>
      <c r="AK165" s="268"/>
      <c r="AL165" s="268"/>
      <c r="AM165" s="268"/>
      <c r="AN165" s="268"/>
      <c r="AO165" s="275"/>
      <c r="AP165" s="268"/>
      <c r="AQ165" s="268"/>
      <c r="AR165" s="268"/>
      <c r="AS165" s="268"/>
      <c r="AT165" s="268"/>
      <c r="AU165" s="275"/>
      <c r="AV165" s="268"/>
      <c r="AW165" s="268"/>
      <c r="AX165" s="268"/>
      <c r="AY165" s="268"/>
      <c r="AZ165" s="268"/>
      <c r="BA165" s="268"/>
      <c r="BB165" s="268"/>
      <c r="BC165" s="268"/>
      <c r="BD165" s="268"/>
      <c r="BE165" s="268"/>
      <c r="BF165" s="268"/>
      <c r="BG165" s="268"/>
      <c r="BH165" s="268"/>
      <c r="BI165" s="268"/>
      <c r="BJ165" s="268"/>
      <c r="BK165" s="268"/>
      <c r="BL165" s="268"/>
      <c r="BM165" s="268"/>
      <c r="BN165" s="268"/>
      <c r="BO165" s="268"/>
      <c r="BP165" s="268"/>
      <c r="BQ165" s="268"/>
      <c r="BR165" s="268"/>
      <c r="BS165" s="268"/>
      <c r="BT165" s="268"/>
      <c r="BU165" s="268"/>
      <c r="BV165" s="268"/>
      <c r="BW165" s="268"/>
      <c r="BX165" s="268"/>
      <c r="BY165" s="268"/>
      <c r="BZ165" s="268"/>
      <c r="CA165" s="268"/>
      <c r="CB165" s="268"/>
      <c r="CC165" s="268"/>
      <c r="CD165" s="268"/>
      <c r="CE165" s="268"/>
      <c r="CF165" s="268"/>
      <c r="CG165" s="268"/>
      <c r="CH165" s="268"/>
      <c r="CI165" s="268"/>
      <c r="CJ165" s="268"/>
      <c r="CK165" s="268"/>
      <c r="CL165" s="268"/>
      <c r="CM165" s="268"/>
      <c r="CN165" s="268"/>
      <c r="CO165" s="268"/>
      <c r="CP165" s="268"/>
      <c r="CQ165" s="268"/>
      <c r="CR165" s="268"/>
      <c r="CS165" s="268"/>
      <c r="CT165" s="268"/>
      <c r="CU165" s="268"/>
      <c r="CV165" s="268"/>
      <c r="CW165" s="268"/>
      <c r="CX165" s="268"/>
      <c r="CY165" s="268"/>
      <c r="CZ165" s="268"/>
      <c r="DA165" s="268"/>
      <c r="DB165" s="268"/>
      <c r="DC165" s="268"/>
      <c r="DD165" s="268"/>
      <c r="DE165" s="268"/>
      <c r="DF165" s="268"/>
      <c r="DG165" s="268"/>
      <c r="DH165" s="268"/>
      <c r="DI165" s="268"/>
      <c r="DJ165" s="268"/>
      <c r="DK165" s="268"/>
      <c r="DL165" s="268"/>
      <c r="DM165" s="268"/>
      <c r="DN165" s="268"/>
      <c r="DO165" s="268"/>
      <c r="DP165" s="268"/>
      <c r="DQ165" s="268"/>
      <c r="DR165" s="268"/>
      <c r="DS165" s="268"/>
      <c r="DT165" s="268"/>
      <c r="DU165" s="268"/>
      <c r="DV165" s="268"/>
      <c r="DW165" s="268"/>
      <c r="DX165" s="268"/>
      <c r="DY165" s="268"/>
      <c r="DZ165" s="268"/>
      <c r="EA165" s="268"/>
      <c r="EB165" s="268"/>
      <c r="EC165" s="268"/>
      <c r="ED165" s="268"/>
      <c r="EE165" s="268"/>
      <c r="EF165" s="268"/>
      <c r="EG165" s="268"/>
    </row>
    <row r="166" spans="1:137" s="283" customFormat="1" ht="18" customHeight="1" x14ac:dyDescent="0.35">
      <c r="A166" s="274">
        <f>MATCH(B166,STUDIES!$A$3:$A$502,0)</f>
        <v>14</v>
      </c>
      <c r="B166" s="272" t="s">
        <v>411</v>
      </c>
      <c r="C166" s="435"/>
      <c r="D166" s="281" t="s">
        <v>148</v>
      </c>
      <c r="E166" s="272" t="s">
        <v>1167</v>
      </c>
      <c r="F166" s="155" t="str">
        <f>_xlfn.XLOOKUP(B166,STUDIES!$A$3:$A$1063,STUDIES!$G$3:$G$1063,"Not Found!")</f>
        <v>A</v>
      </c>
      <c r="G166" s="273" t="s">
        <v>147</v>
      </c>
      <c r="H166" s="273">
        <v>12</v>
      </c>
      <c r="I166" s="273">
        <v>20</v>
      </c>
      <c r="J166" s="274">
        <v>0</v>
      </c>
      <c r="K166" s="268"/>
      <c r="L166" s="268"/>
      <c r="M166" s="268"/>
      <c r="N166" s="268"/>
      <c r="O166" s="268"/>
      <c r="P166" s="268"/>
      <c r="Q166" s="275"/>
      <c r="R166" s="276"/>
      <c r="S166" s="268"/>
      <c r="T166" s="268"/>
      <c r="U166" s="268"/>
      <c r="V166" s="268"/>
      <c r="W166" s="268"/>
      <c r="X166" s="276"/>
      <c r="Y166" s="268"/>
      <c r="Z166" s="268"/>
      <c r="AA166" s="268"/>
      <c r="AB166" s="268"/>
      <c r="AC166" s="268"/>
      <c r="AD166" s="276"/>
      <c r="AE166" s="268"/>
      <c r="AF166" s="268"/>
      <c r="AG166" s="268"/>
      <c r="AH166" s="268"/>
      <c r="AI166" s="268"/>
      <c r="AJ166" s="276"/>
      <c r="AK166" s="268"/>
      <c r="AL166" s="268"/>
      <c r="AM166" s="268"/>
      <c r="AN166" s="268"/>
      <c r="AO166" s="275"/>
      <c r="AP166" s="268"/>
      <c r="AQ166" s="268"/>
      <c r="AR166" s="268"/>
      <c r="AS166" s="268"/>
      <c r="AT166" s="268"/>
      <c r="AU166" s="275"/>
      <c r="AV166" s="268"/>
      <c r="AW166" s="268"/>
      <c r="AX166" s="268"/>
      <c r="AY166" s="268"/>
      <c r="AZ166" s="268"/>
      <c r="BA166" s="268"/>
      <c r="BB166" s="268"/>
      <c r="BC166" s="268"/>
      <c r="BD166" s="268"/>
      <c r="BE166" s="268"/>
      <c r="BF166" s="268"/>
      <c r="BG166" s="268"/>
      <c r="BH166" s="268"/>
      <c r="BI166" s="268"/>
      <c r="BJ166" s="268"/>
      <c r="BK166" s="268"/>
      <c r="BL166" s="268"/>
      <c r="BM166" s="268"/>
      <c r="BN166" s="268"/>
      <c r="BO166" s="268"/>
      <c r="BP166" s="268"/>
      <c r="BQ166" s="268"/>
      <c r="BR166" s="268"/>
      <c r="BS166" s="268"/>
      <c r="BT166" s="268"/>
      <c r="BU166" s="268"/>
      <c r="BV166" s="268"/>
      <c r="BW166" s="268"/>
      <c r="BX166" s="268"/>
      <c r="BY166" s="268"/>
      <c r="BZ166" s="268"/>
      <c r="CA166" s="268"/>
      <c r="CB166" s="268"/>
      <c r="CC166" s="268"/>
      <c r="CD166" s="268"/>
      <c r="CE166" s="268"/>
      <c r="CF166" s="268"/>
      <c r="CG166" s="268"/>
      <c r="CH166" s="268"/>
      <c r="CI166" s="268"/>
      <c r="CJ166" s="268"/>
      <c r="CK166" s="268"/>
      <c r="CL166" s="268"/>
      <c r="CM166" s="268"/>
      <c r="CN166" s="268"/>
      <c r="CO166" s="268"/>
      <c r="CP166" s="268"/>
      <c r="CQ166" s="268"/>
      <c r="CR166" s="268"/>
      <c r="CS166" s="268"/>
      <c r="CT166" s="268"/>
      <c r="CU166" s="268"/>
      <c r="CV166" s="268"/>
      <c r="CW166" s="268"/>
      <c r="CX166" s="268"/>
      <c r="CY166" s="268"/>
      <c r="CZ166" s="268"/>
      <c r="DA166" s="268"/>
      <c r="DB166" s="268"/>
      <c r="DC166" s="268"/>
      <c r="DD166" s="268"/>
      <c r="DE166" s="268"/>
      <c r="DF166" s="268"/>
      <c r="DG166" s="268"/>
      <c r="DH166" s="268"/>
      <c r="DI166" s="268"/>
      <c r="DJ166" s="268"/>
      <c r="DK166" s="268"/>
      <c r="DL166" s="268"/>
      <c r="DM166" s="268"/>
      <c r="DN166" s="268"/>
      <c r="DO166" s="268"/>
      <c r="DP166" s="268"/>
      <c r="DQ166" s="268"/>
      <c r="DR166" s="268"/>
      <c r="DS166" s="268"/>
      <c r="DT166" s="268"/>
      <c r="DU166" s="268"/>
      <c r="DV166" s="268"/>
      <c r="DW166" s="268"/>
      <c r="DX166" s="268"/>
      <c r="DY166" s="268"/>
      <c r="DZ166" s="268"/>
      <c r="EA166" s="268"/>
      <c r="EB166" s="268"/>
      <c r="EC166" s="268"/>
      <c r="ED166" s="268"/>
      <c r="EE166" s="268"/>
      <c r="EF166" s="268"/>
      <c r="EG166" s="268"/>
    </row>
    <row r="167" spans="1:137" s="283" customFormat="1" ht="18" customHeight="1" x14ac:dyDescent="0.35">
      <c r="A167" s="274">
        <f>MATCH(B167,STUDIES!$A$3:$A$502,0)</f>
        <v>15</v>
      </c>
      <c r="B167" s="270" t="s">
        <v>354</v>
      </c>
      <c r="C167" s="459"/>
      <c r="D167" s="278" t="s">
        <v>1055</v>
      </c>
      <c r="E167" s="256" t="s">
        <v>151</v>
      </c>
      <c r="F167" s="155" t="str">
        <f>_xlfn.XLOOKUP(B167,STUDIES!$A$3:$A$1063,STUDIES!$G$3:$G$1063,"Not Found!")</f>
        <v>A</v>
      </c>
      <c r="G167" s="257" t="s">
        <v>147</v>
      </c>
      <c r="H167" s="257">
        <v>16</v>
      </c>
      <c r="I167" s="257">
        <v>27</v>
      </c>
      <c r="J167" s="258"/>
      <c r="K167" s="259"/>
      <c r="L167" s="259"/>
      <c r="M167" s="259"/>
      <c r="N167" s="259"/>
      <c r="O167" s="259"/>
      <c r="P167" s="259"/>
      <c r="Q167" s="271" t="s">
        <v>90</v>
      </c>
      <c r="R167" s="264">
        <v>-25.2</v>
      </c>
      <c r="S167" s="259">
        <v>2.65</v>
      </c>
      <c r="T167" s="259"/>
      <c r="U167" s="259"/>
      <c r="V167" s="259"/>
      <c r="W167" s="259"/>
      <c r="X167" s="264"/>
      <c r="Y167" s="259"/>
      <c r="Z167" s="259"/>
      <c r="AA167" s="259"/>
      <c r="AB167" s="259"/>
      <c r="AC167" s="259"/>
      <c r="AD167" s="264"/>
      <c r="AE167" s="259"/>
      <c r="AF167" s="259"/>
      <c r="AG167" s="259"/>
      <c r="AH167" s="259"/>
      <c r="AI167" s="259"/>
      <c r="AJ167" s="265"/>
      <c r="AK167" s="266"/>
      <c r="AL167" s="266"/>
      <c r="AM167" s="266"/>
      <c r="AN167" s="266"/>
      <c r="AO167" s="267"/>
      <c r="AP167" s="266"/>
      <c r="AQ167" s="266"/>
      <c r="AR167" s="266"/>
      <c r="AS167" s="266"/>
      <c r="AT167" s="266"/>
      <c r="AU167" s="267"/>
      <c r="AV167" s="268"/>
      <c r="AW167" s="268"/>
      <c r="AX167" s="268"/>
      <c r="AY167" s="268"/>
      <c r="AZ167" s="268"/>
      <c r="BA167" s="268"/>
      <c r="BB167" s="268"/>
      <c r="BC167" s="268"/>
      <c r="BD167" s="268"/>
      <c r="BE167" s="268"/>
      <c r="BF167" s="268"/>
      <c r="BG167" s="268"/>
      <c r="BH167" s="268"/>
      <c r="BI167" s="268"/>
      <c r="BJ167" s="268"/>
      <c r="BK167" s="268"/>
      <c r="BL167" s="268"/>
      <c r="BM167" s="268"/>
      <c r="BN167" s="268"/>
      <c r="BO167" s="268"/>
      <c r="BP167" s="268"/>
      <c r="BQ167" s="268"/>
      <c r="BR167" s="268"/>
      <c r="BS167" s="268"/>
      <c r="BT167" s="268"/>
      <c r="BU167" s="268"/>
      <c r="BV167" s="268"/>
      <c r="BW167" s="268"/>
      <c r="BX167" s="268"/>
      <c r="BY167" s="268"/>
      <c r="BZ167" s="268"/>
      <c r="CA167" s="268"/>
      <c r="CB167" s="268"/>
      <c r="CC167" s="268"/>
      <c r="CD167" s="268"/>
      <c r="CE167" s="268"/>
      <c r="CF167" s="268"/>
      <c r="CG167" s="268"/>
      <c r="CH167" s="268"/>
      <c r="CI167" s="268"/>
      <c r="CJ167" s="268"/>
      <c r="CK167" s="268"/>
      <c r="CL167" s="268"/>
      <c r="CM167" s="268"/>
      <c r="CN167" s="268"/>
      <c r="CO167" s="268"/>
      <c r="CP167" s="268"/>
      <c r="CQ167" s="268"/>
      <c r="CR167" s="268"/>
      <c r="CS167" s="268"/>
      <c r="CT167" s="268"/>
      <c r="CU167" s="268"/>
      <c r="CV167" s="268"/>
      <c r="CW167" s="268"/>
      <c r="CX167" s="268"/>
      <c r="CY167" s="268"/>
      <c r="CZ167" s="268"/>
      <c r="DA167" s="268"/>
      <c r="DB167" s="268"/>
      <c r="DC167" s="268"/>
      <c r="DD167" s="268"/>
      <c r="DE167" s="268"/>
      <c r="DF167" s="268"/>
      <c r="DG167" s="268"/>
      <c r="DH167" s="268"/>
      <c r="DI167" s="268"/>
      <c r="DJ167" s="268"/>
      <c r="DK167" s="268"/>
      <c r="DL167" s="268"/>
      <c r="DM167" s="268"/>
      <c r="DN167" s="268"/>
      <c r="DO167" s="268"/>
      <c r="DP167" s="268"/>
      <c r="DQ167" s="268"/>
      <c r="DR167" s="268"/>
      <c r="DS167" s="268"/>
      <c r="DT167" s="268"/>
      <c r="DU167" s="268"/>
      <c r="DV167" s="268"/>
      <c r="DW167" s="268"/>
      <c r="DX167" s="268"/>
      <c r="DY167" s="268"/>
      <c r="DZ167" s="268"/>
      <c r="EA167" s="268"/>
      <c r="EB167" s="268"/>
      <c r="EC167" s="268"/>
      <c r="ED167" s="268"/>
      <c r="EE167" s="268"/>
      <c r="EF167" s="268"/>
      <c r="EG167" s="268"/>
    </row>
    <row r="168" spans="1:137" s="283" customFormat="1" ht="18" customHeight="1" x14ac:dyDescent="0.35">
      <c r="A168" s="274">
        <f>MATCH(B168,STUDIES!$A$3:$A$502,0)</f>
        <v>15</v>
      </c>
      <c r="B168" s="270" t="s">
        <v>354</v>
      </c>
      <c r="C168" s="459"/>
      <c r="D168" s="278" t="s">
        <v>1055</v>
      </c>
      <c r="E168" s="256" t="s">
        <v>291</v>
      </c>
      <c r="F168" s="155" t="str">
        <f>_xlfn.XLOOKUP(B168,STUDIES!$A$3:$A$1063,STUDIES!$G$3:$G$1063,"Not Found!")</f>
        <v>A</v>
      </c>
      <c r="G168" s="257" t="s">
        <v>147</v>
      </c>
      <c r="H168" s="257">
        <v>16</v>
      </c>
      <c r="I168" s="257">
        <v>27</v>
      </c>
      <c r="J168" s="258"/>
      <c r="K168" s="259"/>
      <c r="L168" s="259"/>
      <c r="M168" s="259"/>
      <c r="N168" s="259"/>
      <c r="O168" s="259"/>
      <c r="P168" s="259"/>
      <c r="Q168" s="271" t="s">
        <v>90</v>
      </c>
      <c r="R168" s="264">
        <v>-3.6</v>
      </c>
      <c r="S168" s="259">
        <v>0.45</v>
      </c>
      <c r="T168" s="259"/>
      <c r="U168" s="259"/>
      <c r="V168" s="259"/>
      <c r="W168" s="259"/>
      <c r="X168" s="264"/>
      <c r="Y168" s="259"/>
      <c r="Z168" s="259"/>
      <c r="AA168" s="259"/>
      <c r="AB168" s="259"/>
      <c r="AC168" s="259"/>
      <c r="AD168" s="264"/>
      <c r="AE168" s="259"/>
      <c r="AF168" s="259"/>
      <c r="AG168" s="259"/>
      <c r="AH168" s="259"/>
      <c r="AI168" s="259"/>
      <c r="AJ168" s="265"/>
      <c r="AK168" s="266"/>
      <c r="AL168" s="266"/>
      <c r="AM168" s="266"/>
      <c r="AN168" s="266"/>
      <c r="AO168" s="267"/>
      <c r="AP168" s="266"/>
      <c r="AQ168" s="266"/>
      <c r="AR168" s="266"/>
      <c r="AS168" s="266"/>
      <c r="AT168" s="266"/>
      <c r="AU168" s="267"/>
      <c r="AV168" s="268"/>
      <c r="AW168" s="268"/>
      <c r="AX168" s="268"/>
      <c r="AY168" s="268"/>
      <c r="AZ168" s="268"/>
      <c r="BA168" s="268"/>
      <c r="BB168" s="268"/>
      <c r="BC168" s="268"/>
      <c r="BD168" s="268"/>
      <c r="BE168" s="268"/>
      <c r="BF168" s="268"/>
      <c r="BG168" s="268"/>
      <c r="BH168" s="268"/>
      <c r="BI168" s="268"/>
      <c r="BJ168" s="268"/>
      <c r="BK168" s="268"/>
      <c r="BL168" s="268"/>
      <c r="BM168" s="268"/>
      <c r="BN168" s="268"/>
      <c r="BO168" s="268"/>
      <c r="BP168" s="268"/>
      <c r="BQ168" s="268"/>
      <c r="BR168" s="268"/>
      <c r="BS168" s="268"/>
      <c r="BT168" s="268"/>
      <c r="BU168" s="268"/>
      <c r="BV168" s="268"/>
      <c r="BW168" s="268"/>
      <c r="BX168" s="268"/>
      <c r="BY168" s="268"/>
      <c r="BZ168" s="268"/>
      <c r="CA168" s="268"/>
      <c r="CB168" s="268"/>
      <c r="CC168" s="268"/>
      <c r="CD168" s="268"/>
      <c r="CE168" s="268"/>
      <c r="CF168" s="268"/>
      <c r="CG168" s="268"/>
      <c r="CH168" s="268"/>
      <c r="CI168" s="268"/>
      <c r="CJ168" s="268"/>
      <c r="CK168" s="268"/>
      <c r="CL168" s="268"/>
      <c r="CM168" s="268"/>
      <c r="CN168" s="268"/>
      <c r="CO168" s="268"/>
      <c r="CP168" s="268"/>
      <c r="CQ168" s="268"/>
      <c r="CR168" s="268"/>
      <c r="CS168" s="268"/>
      <c r="CT168" s="268"/>
      <c r="CU168" s="268"/>
      <c r="CV168" s="268"/>
      <c r="CW168" s="268"/>
      <c r="CX168" s="268"/>
      <c r="CY168" s="268"/>
      <c r="CZ168" s="268"/>
      <c r="DA168" s="268"/>
      <c r="DB168" s="268"/>
      <c r="DC168" s="268"/>
      <c r="DD168" s="268"/>
      <c r="DE168" s="268"/>
      <c r="DF168" s="268"/>
      <c r="DG168" s="268"/>
      <c r="DH168" s="268"/>
      <c r="DI168" s="268"/>
      <c r="DJ168" s="268"/>
      <c r="DK168" s="268"/>
      <c r="DL168" s="268"/>
      <c r="DM168" s="268"/>
      <c r="DN168" s="268"/>
      <c r="DO168" s="268"/>
      <c r="DP168" s="268"/>
      <c r="DQ168" s="268"/>
      <c r="DR168" s="268"/>
      <c r="DS168" s="268"/>
      <c r="DT168" s="268"/>
      <c r="DU168" s="268"/>
      <c r="DV168" s="268"/>
      <c r="DW168" s="268"/>
      <c r="DX168" s="268"/>
      <c r="DY168" s="268"/>
      <c r="DZ168" s="268"/>
      <c r="EA168" s="268"/>
      <c r="EB168" s="268"/>
      <c r="EC168" s="268"/>
      <c r="ED168" s="268"/>
      <c r="EE168" s="268"/>
      <c r="EF168" s="268"/>
      <c r="EG168" s="268"/>
    </row>
    <row r="169" spans="1:137" s="283" customFormat="1" ht="18" customHeight="1" x14ac:dyDescent="0.35">
      <c r="A169" s="274">
        <f>MATCH(B169,STUDIES!$A$3:$A$502,0)</f>
        <v>15</v>
      </c>
      <c r="B169" s="270" t="s">
        <v>354</v>
      </c>
      <c r="C169" s="459"/>
      <c r="D169" s="278" t="s">
        <v>1055</v>
      </c>
      <c r="E169" s="256" t="s">
        <v>153</v>
      </c>
      <c r="F169" s="155" t="str">
        <f>_xlfn.XLOOKUP(B169,STUDIES!$A$3:$A$1063,STUDIES!$G$3:$G$1063,"Not Found!")</f>
        <v>A</v>
      </c>
      <c r="G169" s="257" t="s">
        <v>147</v>
      </c>
      <c r="H169" s="257">
        <v>16</v>
      </c>
      <c r="I169" s="257">
        <v>27</v>
      </c>
      <c r="J169" s="258"/>
      <c r="K169" s="259"/>
      <c r="L169" s="259"/>
      <c r="M169" s="259"/>
      <c r="N169" s="259"/>
      <c r="O169" s="259"/>
      <c r="P169" s="259"/>
      <c r="Q169" s="271" t="s">
        <v>90</v>
      </c>
      <c r="R169" s="264">
        <v>-13.1</v>
      </c>
      <c r="S169" s="259">
        <v>1.37</v>
      </c>
      <c r="T169" s="259"/>
      <c r="U169" s="259"/>
      <c r="V169" s="259"/>
      <c r="W169" s="259"/>
      <c r="X169" s="264"/>
      <c r="Y169" s="259"/>
      <c r="Z169" s="259"/>
      <c r="AA169" s="259"/>
      <c r="AB169" s="259"/>
      <c r="AC169" s="259"/>
      <c r="AD169" s="264"/>
      <c r="AE169" s="259"/>
      <c r="AF169" s="259"/>
      <c r="AG169" s="259"/>
      <c r="AH169" s="259"/>
      <c r="AI169" s="259"/>
      <c r="AJ169" s="265"/>
      <c r="AK169" s="266"/>
      <c r="AL169" s="266"/>
      <c r="AM169" s="266"/>
      <c r="AN169" s="266"/>
      <c r="AO169" s="267"/>
      <c r="AP169" s="266"/>
      <c r="AQ169" s="266"/>
      <c r="AR169" s="266"/>
      <c r="AS169" s="266"/>
      <c r="AT169" s="266"/>
      <c r="AU169" s="267"/>
      <c r="AV169" s="268"/>
      <c r="AW169" s="268"/>
      <c r="AX169" s="268"/>
      <c r="AY169" s="268"/>
      <c r="AZ169" s="268"/>
      <c r="BA169" s="268"/>
      <c r="BB169" s="268"/>
      <c r="BC169" s="268"/>
      <c r="BD169" s="268"/>
      <c r="BE169" s="268"/>
      <c r="BF169" s="268"/>
      <c r="BG169" s="268"/>
      <c r="BH169" s="268"/>
      <c r="BI169" s="268"/>
      <c r="BJ169" s="268"/>
      <c r="BK169" s="268"/>
      <c r="BL169" s="268"/>
      <c r="BM169" s="268"/>
      <c r="BN169" s="268"/>
      <c r="BO169" s="268"/>
      <c r="BP169" s="268"/>
      <c r="BQ169" s="268"/>
      <c r="BR169" s="268"/>
      <c r="BS169" s="268"/>
      <c r="BT169" s="268"/>
      <c r="BU169" s="268"/>
      <c r="BV169" s="268"/>
      <c r="BW169" s="268"/>
      <c r="BX169" s="268"/>
      <c r="BY169" s="268"/>
      <c r="BZ169" s="268"/>
      <c r="CA169" s="268"/>
      <c r="CB169" s="268"/>
      <c r="CC169" s="268"/>
      <c r="CD169" s="268"/>
      <c r="CE169" s="268"/>
      <c r="CF169" s="268"/>
      <c r="CG169" s="268"/>
      <c r="CH169" s="268"/>
      <c r="CI169" s="268"/>
      <c r="CJ169" s="268"/>
      <c r="CK169" s="268"/>
      <c r="CL169" s="268"/>
      <c r="CM169" s="268"/>
      <c r="CN169" s="268"/>
      <c r="CO169" s="268"/>
      <c r="CP169" s="268"/>
      <c r="CQ169" s="268"/>
      <c r="CR169" s="268"/>
      <c r="CS169" s="268"/>
      <c r="CT169" s="268"/>
      <c r="CU169" s="268"/>
      <c r="CV169" s="268"/>
      <c r="CW169" s="268"/>
      <c r="CX169" s="268"/>
      <c r="CY169" s="268"/>
      <c r="CZ169" s="268"/>
      <c r="DA169" s="268"/>
      <c r="DB169" s="268"/>
      <c r="DC169" s="268"/>
      <c r="DD169" s="268"/>
      <c r="DE169" s="268"/>
      <c r="DF169" s="268"/>
      <c r="DG169" s="268"/>
      <c r="DH169" s="268"/>
      <c r="DI169" s="268"/>
      <c r="DJ169" s="268"/>
      <c r="DK169" s="268"/>
      <c r="DL169" s="268"/>
      <c r="DM169" s="268"/>
      <c r="DN169" s="268"/>
      <c r="DO169" s="268"/>
      <c r="DP169" s="268"/>
      <c r="DQ169" s="268"/>
      <c r="DR169" s="268"/>
      <c r="DS169" s="268"/>
      <c r="DT169" s="268"/>
      <c r="DU169" s="268"/>
      <c r="DV169" s="268"/>
      <c r="DW169" s="268"/>
      <c r="DX169" s="268"/>
      <c r="DY169" s="268"/>
      <c r="DZ169" s="268"/>
      <c r="EA169" s="268"/>
      <c r="EB169" s="268"/>
      <c r="EC169" s="268"/>
      <c r="ED169" s="268"/>
      <c r="EE169" s="268"/>
      <c r="EF169" s="268"/>
      <c r="EG169" s="268"/>
    </row>
    <row r="170" spans="1:137" s="283" customFormat="1" ht="18" customHeight="1" x14ac:dyDescent="0.35">
      <c r="A170" s="274">
        <f>MATCH(B170,STUDIES!$A$3:$A$502,0)</f>
        <v>15</v>
      </c>
      <c r="B170" s="272" t="s">
        <v>354</v>
      </c>
      <c r="C170" s="435"/>
      <c r="D170" s="278" t="s">
        <v>1055</v>
      </c>
      <c r="E170" s="272" t="s">
        <v>1163</v>
      </c>
      <c r="F170" s="155" t="str">
        <f>_xlfn.XLOOKUP(B170,STUDIES!$A$3:$A$1063,STUDIES!$G$3:$G$1063,"Not Found!")</f>
        <v>A</v>
      </c>
      <c r="G170" s="273" t="s">
        <v>147</v>
      </c>
      <c r="H170" s="273">
        <v>16</v>
      </c>
      <c r="I170" s="273">
        <v>27</v>
      </c>
      <c r="J170" s="274">
        <v>0</v>
      </c>
      <c r="K170" s="268"/>
      <c r="L170" s="268"/>
      <c r="M170" s="268"/>
      <c r="N170" s="268"/>
      <c r="O170" s="268"/>
      <c r="P170" s="268"/>
      <c r="Q170" s="275"/>
      <c r="R170" s="276"/>
      <c r="S170" s="268"/>
      <c r="T170" s="268"/>
      <c r="U170" s="268"/>
      <c r="V170" s="268"/>
      <c r="W170" s="268"/>
      <c r="X170" s="276"/>
      <c r="Y170" s="268"/>
      <c r="Z170" s="268"/>
      <c r="AA170" s="268"/>
      <c r="AB170" s="268"/>
      <c r="AC170" s="268"/>
      <c r="AD170" s="276"/>
      <c r="AE170" s="268"/>
      <c r="AF170" s="268"/>
      <c r="AG170" s="268"/>
      <c r="AH170" s="268"/>
      <c r="AI170" s="268"/>
      <c r="AJ170" s="276"/>
      <c r="AK170" s="268"/>
      <c r="AL170" s="268"/>
      <c r="AM170" s="268"/>
      <c r="AN170" s="268"/>
      <c r="AO170" s="275"/>
      <c r="AP170" s="268"/>
      <c r="AQ170" s="268"/>
      <c r="AR170" s="268"/>
      <c r="AS170" s="268"/>
      <c r="AT170" s="268"/>
      <c r="AU170" s="275"/>
      <c r="AV170" s="268"/>
      <c r="AW170" s="268"/>
      <c r="AX170" s="268"/>
      <c r="AY170" s="268"/>
      <c r="AZ170" s="268"/>
      <c r="BA170" s="268"/>
      <c r="BB170" s="268"/>
      <c r="BC170" s="268"/>
      <c r="BD170" s="268"/>
      <c r="BE170" s="268"/>
      <c r="BF170" s="268"/>
      <c r="BG170" s="268"/>
      <c r="BH170" s="268"/>
      <c r="BI170" s="268"/>
      <c r="BJ170" s="268"/>
      <c r="BK170" s="268"/>
      <c r="BL170" s="268"/>
      <c r="BM170" s="268"/>
      <c r="BN170" s="268"/>
      <c r="BO170" s="268"/>
      <c r="BP170" s="268"/>
      <c r="BQ170" s="268"/>
      <c r="BR170" s="268"/>
      <c r="BS170" s="268"/>
      <c r="BT170" s="268"/>
      <c r="BU170" s="268"/>
      <c r="BV170" s="268"/>
      <c r="BW170" s="268"/>
      <c r="BX170" s="268"/>
      <c r="BY170" s="268"/>
      <c r="BZ170" s="268"/>
      <c r="CA170" s="268"/>
      <c r="CB170" s="268"/>
      <c r="CC170" s="268"/>
      <c r="CD170" s="268"/>
      <c r="CE170" s="268"/>
      <c r="CF170" s="268"/>
      <c r="CG170" s="268"/>
      <c r="CH170" s="268"/>
      <c r="CI170" s="268"/>
      <c r="CJ170" s="268"/>
      <c r="CK170" s="268"/>
      <c r="CL170" s="268"/>
      <c r="CM170" s="268"/>
      <c r="CN170" s="268"/>
      <c r="CO170" s="268"/>
      <c r="CP170" s="268"/>
      <c r="CQ170" s="268"/>
      <c r="CR170" s="268"/>
      <c r="CS170" s="268"/>
      <c r="CT170" s="268"/>
      <c r="CU170" s="268"/>
      <c r="CV170" s="268"/>
      <c r="CW170" s="268"/>
      <c r="CX170" s="268"/>
      <c r="CY170" s="268"/>
      <c r="CZ170" s="268"/>
      <c r="DA170" s="268"/>
      <c r="DB170" s="268"/>
      <c r="DC170" s="268"/>
      <c r="DD170" s="268"/>
      <c r="DE170" s="268"/>
      <c r="DF170" s="268"/>
      <c r="DG170" s="268"/>
      <c r="DH170" s="268"/>
      <c r="DI170" s="268"/>
      <c r="DJ170" s="268"/>
      <c r="DK170" s="268"/>
      <c r="DL170" s="268"/>
      <c r="DM170" s="268"/>
      <c r="DN170" s="268"/>
      <c r="DO170" s="268"/>
      <c r="DP170" s="268"/>
      <c r="DQ170" s="268"/>
      <c r="DR170" s="268"/>
      <c r="DS170" s="268"/>
      <c r="DT170" s="268"/>
      <c r="DU170" s="268"/>
      <c r="DV170" s="268"/>
      <c r="DW170" s="268"/>
      <c r="DX170" s="268"/>
      <c r="DY170" s="268"/>
      <c r="DZ170" s="268"/>
      <c r="EA170" s="268"/>
      <c r="EB170" s="268"/>
      <c r="EC170" s="268"/>
      <c r="ED170" s="268"/>
      <c r="EE170" s="268"/>
      <c r="EF170" s="268"/>
      <c r="EG170" s="268"/>
    </row>
    <row r="171" spans="1:137" s="283" customFormat="1" ht="18" customHeight="1" x14ac:dyDescent="0.35">
      <c r="A171" s="274">
        <f>MATCH(B171,STUDIES!$A$3:$A$502,0)</f>
        <v>15</v>
      </c>
      <c r="B171" s="272" t="s">
        <v>354</v>
      </c>
      <c r="C171" s="435"/>
      <c r="D171" s="281" t="s">
        <v>1055</v>
      </c>
      <c r="E171" s="272" t="s">
        <v>1167</v>
      </c>
      <c r="F171" s="155" t="str">
        <f>_xlfn.XLOOKUP(B171,STUDIES!$A$3:$A$1063,STUDIES!$G$3:$G$1063,"Not Found!")</f>
        <v>A</v>
      </c>
      <c r="G171" s="273" t="s">
        <v>147</v>
      </c>
      <c r="H171" s="273">
        <v>16</v>
      </c>
      <c r="I171" s="273">
        <v>27</v>
      </c>
      <c r="J171" s="274">
        <v>3</v>
      </c>
      <c r="K171" s="268"/>
      <c r="L171" s="268"/>
      <c r="M171" s="268"/>
      <c r="N171" s="268"/>
      <c r="O171" s="268"/>
      <c r="P171" s="268"/>
      <c r="Q171" s="275"/>
      <c r="R171" s="276"/>
      <c r="S171" s="268"/>
      <c r="T171" s="268"/>
      <c r="U171" s="268"/>
      <c r="V171" s="268"/>
      <c r="W171" s="268"/>
      <c r="X171" s="276"/>
      <c r="Y171" s="268"/>
      <c r="Z171" s="268"/>
      <c r="AA171" s="268"/>
      <c r="AB171" s="268"/>
      <c r="AC171" s="268"/>
      <c r="AD171" s="276"/>
      <c r="AE171" s="268"/>
      <c r="AF171" s="268"/>
      <c r="AG171" s="268"/>
      <c r="AH171" s="268"/>
      <c r="AI171" s="268"/>
      <c r="AJ171" s="276"/>
      <c r="AK171" s="268"/>
      <c r="AL171" s="268"/>
      <c r="AM171" s="268"/>
      <c r="AN171" s="268"/>
      <c r="AO171" s="275"/>
      <c r="AP171" s="268"/>
      <c r="AQ171" s="268"/>
      <c r="AR171" s="268"/>
      <c r="AS171" s="268"/>
      <c r="AT171" s="268"/>
      <c r="AU171" s="275"/>
      <c r="AV171" s="268"/>
      <c r="AW171" s="268"/>
      <c r="AX171" s="268"/>
      <c r="AY171" s="268"/>
      <c r="AZ171" s="268"/>
      <c r="BA171" s="268"/>
      <c r="BB171" s="268"/>
      <c r="BC171" s="268"/>
      <c r="BD171" s="268"/>
      <c r="BE171" s="268"/>
      <c r="BF171" s="268"/>
      <c r="BG171" s="268"/>
      <c r="BH171" s="268"/>
      <c r="BI171" s="268"/>
      <c r="BJ171" s="268"/>
      <c r="BK171" s="268"/>
      <c r="BL171" s="268"/>
      <c r="BM171" s="268"/>
      <c r="BN171" s="268"/>
      <c r="BO171" s="268"/>
      <c r="BP171" s="268"/>
      <c r="BQ171" s="268"/>
      <c r="BR171" s="268"/>
      <c r="BS171" s="268"/>
      <c r="BT171" s="268"/>
      <c r="BU171" s="268"/>
      <c r="BV171" s="268"/>
      <c r="BW171" s="268"/>
      <c r="BX171" s="268"/>
      <c r="BY171" s="268"/>
      <c r="BZ171" s="268"/>
      <c r="CA171" s="268"/>
      <c r="CB171" s="268"/>
      <c r="CC171" s="268"/>
      <c r="CD171" s="268"/>
      <c r="CE171" s="268"/>
      <c r="CF171" s="268"/>
      <c r="CG171" s="268"/>
      <c r="CH171" s="268"/>
      <c r="CI171" s="268"/>
      <c r="CJ171" s="268"/>
      <c r="CK171" s="268"/>
      <c r="CL171" s="268"/>
      <c r="CM171" s="268"/>
      <c r="CN171" s="268"/>
      <c r="CO171" s="268"/>
      <c r="CP171" s="268"/>
      <c r="CQ171" s="268"/>
      <c r="CR171" s="268"/>
      <c r="CS171" s="268"/>
      <c r="CT171" s="268"/>
      <c r="CU171" s="268"/>
      <c r="CV171" s="268"/>
      <c r="CW171" s="268"/>
      <c r="CX171" s="268"/>
      <c r="CY171" s="268"/>
      <c r="CZ171" s="268"/>
      <c r="DA171" s="268"/>
      <c r="DB171" s="268"/>
      <c r="DC171" s="268"/>
      <c r="DD171" s="268"/>
      <c r="DE171" s="268"/>
      <c r="DF171" s="268"/>
      <c r="DG171" s="268"/>
      <c r="DH171" s="268"/>
      <c r="DI171" s="268"/>
      <c r="DJ171" s="268"/>
      <c r="DK171" s="268"/>
      <c r="DL171" s="268"/>
      <c r="DM171" s="268"/>
      <c r="DN171" s="268"/>
      <c r="DO171" s="268"/>
      <c r="DP171" s="268"/>
      <c r="DQ171" s="268"/>
      <c r="DR171" s="268"/>
      <c r="DS171" s="268"/>
      <c r="DT171" s="268"/>
      <c r="DU171" s="268"/>
      <c r="DV171" s="268"/>
      <c r="DW171" s="268"/>
      <c r="DX171" s="268"/>
      <c r="DY171" s="268"/>
      <c r="DZ171" s="268"/>
      <c r="EA171" s="268"/>
      <c r="EB171" s="268"/>
      <c r="EC171" s="268"/>
      <c r="ED171" s="268"/>
      <c r="EE171" s="268"/>
      <c r="EF171" s="268"/>
      <c r="EG171" s="268"/>
    </row>
    <row r="172" spans="1:137" s="283" customFormat="1" ht="18" customHeight="1" x14ac:dyDescent="0.35">
      <c r="A172" s="274">
        <f>MATCH(B172,STUDIES!$A$3:$A$502,0)</f>
        <v>15</v>
      </c>
      <c r="B172" s="270" t="s">
        <v>354</v>
      </c>
      <c r="C172" s="459"/>
      <c r="D172" s="278" t="s">
        <v>148</v>
      </c>
      <c r="E172" s="256" t="s">
        <v>151</v>
      </c>
      <c r="F172" s="155" t="str">
        <f>_xlfn.XLOOKUP(B172,STUDIES!$A$3:$A$1063,STUDIES!$G$3:$G$1063,"Not Found!")</f>
        <v>A</v>
      </c>
      <c r="G172" s="257" t="s">
        <v>147</v>
      </c>
      <c r="H172" s="257">
        <v>16</v>
      </c>
      <c r="I172" s="257">
        <v>27</v>
      </c>
      <c r="J172" s="258"/>
      <c r="K172" s="259"/>
      <c r="L172" s="259"/>
      <c r="M172" s="259"/>
      <c r="N172" s="259"/>
      <c r="O172" s="259"/>
      <c r="P172" s="259"/>
      <c r="Q172" s="271" t="s">
        <v>90</v>
      </c>
      <c r="R172" s="264">
        <v>-3.7</v>
      </c>
      <c r="S172" s="259">
        <v>2.65</v>
      </c>
      <c r="T172" s="259"/>
      <c r="U172" s="259"/>
      <c r="V172" s="259"/>
      <c r="W172" s="259"/>
      <c r="X172" s="264"/>
      <c r="Y172" s="259"/>
      <c r="Z172" s="259"/>
      <c r="AA172" s="259"/>
      <c r="AB172" s="259"/>
      <c r="AC172" s="259"/>
      <c r="AD172" s="264"/>
      <c r="AE172" s="259"/>
      <c r="AF172" s="259"/>
      <c r="AG172" s="259"/>
      <c r="AH172" s="259"/>
      <c r="AI172" s="259"/>
      <c r="AJ172" s="265"/>
      <c r="AK172" s="266"/>
      <c r="AL172" s="266"/>
      <c r="AM172" s="266"/>
      <c r="AN172" s="266"/>
      <c r="AO172" s="267"/>
      <c r="AP172" s="266"/>
      <c r="AQ172" s="266"/>
      <c r="AR172" s="266"/>
      <c r="AS172" s="266"/>
      <c r="AT172" s="266"/>
      <c r="AU172" s="267"/>
      <c r="AV172" s="268"/>
      <c r="AW172" s="268"/>
      <c r="AX172" s="268"/>
      <c r="AY172" s="268"/>
      <c r="AZ172" s="268"/>
      <c r="BA172" s="268"/>
      <c r="BB172" s="268"/>
      <c r="BC172" s="268"/>
      <c r="BD172" s="268"/>
      <c r="BE172" s="268"/>
      <c r="BF172" s="268"/>
      <c r="BG172" s="268"/>
      <c r="BH172" s="268"/>
      <c r="BI172" s="268"/>
      <c r="BJ172" s="268"/>
      <c r="BK172" s="268"/>
      <c r="BL172" s="268"/>
      <c r="BM172" s="268"/>
      <c r="BN172" s="268"/>
      <c r="BO172" s="268"/>
      <c r="BP172" s="268"/>
      <c r="BQ172" s="268"/>
      <c r="BR172" s="268"/>
      <c r="BS172" s="268"/>
      <c r="BT172" s="268"/>
      <c r="BU172" s="268"/>
      <c r="BV172" s="268"/>
      <c r="BW172" s="268"/>
      <c r="BX172" s="268"/>
      <c r="BY172" s="268"/>
      <c r="BZ172" s="268"/>
      <c r="CA172" s="268"/>
      <c r="CB172" s="268"/>
      <c r="CC172" s="268"/>
      <c r="CD172" s="268"/>
      <c r="CE172" s="268"/>
      <c r="CF172" s="268"/>
      <c r="CG172" s="268"/>
      <c r="CH172" s="268"/>
      <c r="CI172" s="268"/>
      <c r="CJ172" s="268"/>
      <c r="CK172" s="268"/>
      <c r="CL172" s="268"/>
      <c r="CM172" s="268"/>
      <c r="CN172" s="268"/>
      <c r="CO172" s="268"/>
      <c r="CP172" s="268"/>
      <c r="CQ172" s="268"/>
      <c r="CR172" s="268"/>
      <c r="CS172" s="268"/>
      <c r="CT172" s="268"/>
      <c r="CU172" s="268"/>
      <c r="CV172" s="268"/>
      <c r="CW172" s="268"/>
      <c r="CX172" s="268"/>
      <c r="CY172" s="268"/>
      <c r="CZ172" s="268"/>
      <c r="DA172" s="268"/>
      <c r="DB172" s="268"/>
      <c r="DC172" s="268"/>
      <c r="DD172" s="268"/>
      <c r="DE172" s="268"/>
      <c r="DF172" s="268"/>
      <c r="DG172" s="268"/>
      <c r="DH172" s="268"/>
      <c r="DI172" s="268"/>
      <c r="DJ172" s="268"/>
      <c r="DK172" s="268"/>
      <c r="DL172" s="268"/>
      <c r="DM172" s="268"/>
      <c r="DN172" s="268"/>
      <c r="DO172" s="268"/>
      <c r="DP172" s="268"/>
      <c r="DQ172" s="268"/>
      <c r="DR172" s="268"/>
      <c r="DS172" s="268"/>
      <c r="DT172" s="268"/>
      <c r="DU172" s="268"/>
      <c r="DV172" s="268"/>
      <c r="DW172" s="268"/>
      <c r="DX172" s="268"/>
      <c r="DY172" s="268"/>
      <c r="DZ172" s="268"/>
      <c r="EA172" s="268"/>
      <c r="EB172" s="268"/>
      <c r="EC172" s="268"/>
      <c r="ED172" s="268"/>
      <c r="EE172" s="268"/>
      <c r="EF172" s="268"/>
      <c r="EG172" s="268"/>
    </row>
    <row r="173" spans="1:137" s="283" customFormat="1" ht="18" customHeight="1" x14ac:dyDescent="0.35">
      <c r="A173" s="274">
        <f>MATCH(B173,STUDIES!$A$3:$A$502,0)</f>
        <v>15</v>
      </c>
      <c r="B173" s="270" t="s">
        <v>354</v>
      </c>
      <c r="C173" s="459"/>
      <c r="D173" s="278" t="s">
        <v>148</v>
      </c>
      <c r="E173" s="256" t="s">
        <v>291</v>
      </c>
      <c r="F173" s="155" t="str">
        <f>_xlfn.XLOOKUP(B173,STUDIES!$A$3:$A$1063,STUDIES!$G$3:$G$1063,"Not Found!")</f>
        <v>A</v>
      </c>
      <c r="G173" s="257" t="s">
        <v>147</v>
      </c>
      <c r="H173" s="257">
        <v>16</v>
      </c>
      <c r="I173" s="257">
        <v>27</v>
      </c>
      <c r="J173" s="258"/>
      <c r="K173" s="259"/>
      <c r="L173" s="259"/>
      <c r="M173" s="259"/>
      <c r="N173" s="259"/>
      <c r="O173" s="259"/>
      <c r="P173" s="259"/>
      <c r="Q173" s="271" t="s">
        <v>90</v>
      </c>
      <c r="R173" s="264">
        <v>-1.2</v>
      </c>
      <c r="S173" s="259">
        <v>0.44</v>
      </c>
      <c r="T173" s="259"/>
      <c r="U173" s="259"/>
      <c r="V173" s="259"/>
      <c r="W173" s="259"/>
      <c r="X173" s="264"/>
      <c r="Y173" s="259"/>
      <c r="Z173" s="259"/>
      <c r="AA173" s="259"/>
      <c r="AB173" s="259"/>
      <c r="AC173" s="259"/>
      <c r="AD173" s="264"/>
      <c r="AE173" s="259"/>
      <c r="AF173" s="259"/>
      <c r="AG173" s="259"/>
      <c r="AH173" s="259"/>
      <c r="AI173" s="259"/>
      <c r="AJ173" s="265"/>
      <c r="AK173" s="266"/>
      <c r="AL173" s="266"/>
      <c r="AM173" s="266"/>
      <c r="AN173" s="266"/>
      <c r="AO173" s="267"/>
      <c r="AP173" s="266"/>
      <c r="AQ173" s="266"/>
      <c r="AR173" s="266"/>
      <c r="AS173" s="266"/>
      <c r="AT173" s="266"/>
      <c r="AU173" s="267"/>
      <c r="AV173" s="268"/>
      <c r="AW173" s="268"/>
      <c r="AX173" s="268"/>
      <c r="AY173" s="268"/>
      <c r="AZ173" s="268"/>
      <c r="BA173" s="268"/>
      <c r="BB173" s="268"/>
      <c r="BC173" s="268"/>
      <c r="BD173" s="268"/>
      <c r="BE173" s="268"/>
      <c r="BF173" s="268"/>
      <c r="BG173" s="268"/>
      <c r="BH173" s="268"/>
      <c r="BI173" s="268"/>
      <c r="BJ173" s="268"/>
      <c r="BK173" s="268"/>
      <c r="BL173" s="268"/>
      <c r="BM173" s="268"/>
      <c r="BN173" s="268"/>
      <c r="BO173" s="268"/>
      <c r="BP173" s="268"/>
      <c r="BQ173" s="268"/>
      <c r="BR173" s="268"/>
      <c r="BS173" s="268"/>
      <c r="BT173" s="268"/>
      <c r="BU173" s="268"/>
      <c r="BV173" s="268"/>
      <c r="BW173" s="268"/>
      <c r="BX173" s="268"/>
      <c r="BY173" s="268"/>
      <c r="BZ173" s="268"/>
      <c r="CA173" s="268"/>
      <c r="CB173" s="268"/>
      <c r="CC173" s="268"/>
      <c r="CD173" s="268"/>
      <c r="CE173" s="268"/>
      <c r="CF173" s="268"/>
      <c r="CG173" s="268"/>
      <c r="CH173" s="268"/>
      <c r="CI173" s="268"/>
      <c r="CJ173" s="268"/>
      <c r="CK173" s="268"/>
      <c r="CL173" s="268"/>
      <c r="CM173" s="268"/>
      <c r="CN173" s="268"/>
      <c r="CO173" s="268"/>
      <c r="CP173" s="268"/>
      <c r="CQ173" s="268"/>
      <c r="CR173" s="268"/>
      <c r="CS173" s="268"/>
      <c r="CT173" s="268"/>
      <c r="CU173" s="268"/>
      <c r="CV173" s="268"/>
      <c r="CW173" s="268"/>
      <c r="CX173" s="268"/>
      <c r="CY173" s="268"/>
      <c r="CZ173" s="268"/>
      <c r="DA173" s="268"/>
      <c r="DB173" s="268"/>
      <c r="DC173" s="268"/>
      <c r="DD173" s="268"/>
      <c r="DE173" s="268"/>
      <c r="DF173" s="268"/>
      <c r="DG173" s="268"/>
      <c r="DH173" s="268"/>
      <c r="DI173" s="268"/>
      <c r="DJ173" s="268"/>
      <c r="DK173" s="268"/>
      <c r="DL173" s="268"/>
      <c r="DM173" s="268"/>
      <c r="DN173" s="268"/>
      <c r="DO173" s="268"/>
      <c r="DP173" s="268"/>
      <c r="DQ173" s="268"/>
      <c r="DR173" s="268"/>
      <c r="DS173" s="268"/>
      <c r="DT173" s="268"/>
      <c r="DU173" s="268"/>
      <c r="DV173" s="268"/>
      <c r="DW173" s="268"/>
      <c r="DX173" s="268"/>
      <c r="DY173" s="268"/>
      <c r="DZ173" s="268"/>
      <c r="EA173" s="268"/>
      <c r="EB173" s="268"/>
      <c r="EC173" s="268"/>
      <c r="ED173" s="268"/>
      <c r="EE173" s="268"/>
      <c r="EF173" s="268"/>
      <c r="EG173" s="268"/>
    </row>
    <row r="174" spans="1:137" s="283" customFormat="1" ht="18" customHeight="1" x14ac:dyDescent="0.35">
      <c r="A174" s="274">
        <f>MATCH(B174,STUDIES!$A$3:$A$502,0)</f>
        <v>15</v>
      </c>
      <c r="B174" s="270" t="s">
        <v>354</v>
      </c>
      <c r="C174" s="459"/>
      <c r="D174" s="278" t="s">
        <v>148</v>
      </c>
      <c r="E174" s="256" t="s">
        <v>153</v>
      </c>
      <c r="F174" s="155" t="str">
        <f>_xlfn.XLOOKUP(B174,STUDIES!$A$3:$A$1063,STUDIES!$G$3:$G$1063,"Not Found!")</f>
        <v>A</v>
      </c>
      <c r="G174" s="257" t="s">
        <v>147</v>
      </c>
      <c r="H174" s="257">
        <v>16</v>
      </c>
      <c r="I174" s="257">
        <v>27</v>
      </c>
      <c r="J174" s="258"/>
      <c r="K174" s="259"/>
      <c r="L174" s="259"/>
      <c r="M174" s="259"/>
      <c r="N174" s="259"/>
      <c r="O174" s="259"/>
      <c r="P174" s="259"/>
      <c r="Q174" s="271" t="s">
        <v>90</v>
      </c>
      <c r="R174" s="264">
        <v>-2.6</v>
      </c>
      <c r="S174" s="259">
        <v>1.34</v>
      </c>
      <c r="T174" s="259"/>
      <c r="U174" s="259"/>
      <c r="V174" s="259"/>
      <c r="W174" s="259"/>
      <c r="X174" s="264"/>
      <c r="Y174" s="259"/>
      <c r="Z174" s="259"/>
      <c r="AA174" s="259"/>
      <c r="AB174" s="259"/>
      <c r="AC174" s="259"/>
      <c r="AD174" s="264"/>
      <c r="AE174" s="259"/>
      <c r="AF174" s="259"/>
      <c r="AG174" s="259"/>
      <c r="AH174" s="259"/>
      <c r="AI174" s="259"/>
      <c r="AJ174" s="265"/>
      <c r="AK174" s="266"/>
      <c r="AL174" s="266"/>
      <c r="AM174" s="266"/>
      <c r="AN174" s="266"/>
      <c r="AO174" s="267"/>
      <c r="AP174" s="266"/>
      <c r="AQ174" s="266"/>
      <c r="AR174" s="266"/>
      <c r="AS174" s="266"/>
      <c r="AT174" s="266"/>
      <c r="AU174" s="267"/>
      <c r="AV174" s="268"/>
      <c r="AW174" s="268"/>
      <c r="AX174" s="268"/>
      <c r="AY174" s="268"/>
      <c r="AZ174" s="268"/>
      <c r="BA174" s="268"/>
      <c r="BB174" s="268"/>
      <c r="BC174" s="268"/>
      <c r="BD174" s="268"/>
      <c r="BE174" s="268"/>
      <c r="BF174" s="268"/>
      <c r="BG174" s="268"/>
      <c r="BH174" s="268"/>
      <c r="BI174" s="268"/>
      <c r="BJ174" s="268"/>
      <c r="BK174" s="268"/>
      <c r="BL174" s="268"/>
      <c r="BM174" s="268"/>
      <c r="BN174" s="268"/>
      <c r="BO174" s="268"/>
      <c r="BP174" s="268"/>
      <c r="BQ174" s="268"/>
      <c r="BR174" s="268"/>
      <c r="BS174" s="268"/>
      <c r="BT174" s="268"/>
      <c r="BU174" s="268"/>
      <c r="BV174" s="268"/>
      <c r="BW174" s="268"/>
      <c r="BX174" s="268"/>
      <c r="BY174" s="268"/>
      <c r="BZ174" s="268"/>
      <c r="CA174" s="268"/>
      <c r="CB174" s="268"/>
      <c r="CC174" s="268"/>
      <c r="CD174" s="268"/>
      <c r="CE174" s="268"/>
      <c r="CF174" s="268"/>
      <c r="CG174" s="268"/>
      <c r="CH174" s="268"/>
      <c r="CI174" s="268"/>
      <c r="CJ174" s="268"/>
      <c r="CK174" s="268"/>
      <c r="CL174" s="268"/>
      <c r="CM174" s="268"/>
      <c r="CN174" s="268"/>
      <c r="CO174" s="268"/>
      <c r="CP174" s="268"/>
      <c r="CQ174" s="268"/>
      <c r="CR174" s="268"/>
      <c r="CS174" s="268"/>
      <c r="CT174" s="268"/>
      <c r="CU174" s="268"/>
      <c r="CV174" s="268"/>
      <c r="CW174" s="268"/>
      <c r="CX174" s="268"/>
      <c r="CY174" s="268"/>
      <c r="CZ174" s="268"/>
      <c r="DA174" s="268"/>
      <c r="DB174" s="268"/>
      <c r="DC174" s="268"/>
      <c r="DD174" s="268"/>
      <c r="DE174" s="268"/>
      <c r="DF174" s="268"/>
      <c r="DG174" s="268"/>
      <c r="DH174" s="268"/>
      <c r="DI174" s="268"/>
      <c r="DJ174" s="268"/>
      <c r="DK174" s="268"/>
      <c r="DL174" s="268"/>
      <c r="DM174" s="268"/>
      <c r="DN174" s="268"/>
      <c r="DO174" s="268"/>
      <c r="DP174" s="268"/>
      <c r="DQ174" s="268"/>
      <c r="DR174" s="268"/>
      <c r="DS174" s="268"/>
      <c r="DT174" s="268"/>
      <c r="DU174" s="268"/>
      <c r="DV174" s="268"/>
      <c r="DW174" s="268"/>
      <c r="DX174" s="268"/>
      <c r="DY174" s="268"/>
      <c r="DZ174" s="268"/>
      <c r="EA174" s="268"/>
      <c r="EB174" s="268"/>
      <c r="EC174" s="268"/>
      <c r="ED174" s="268"/>
      <c r="EE174" s="268"/>
      <c r="EF174" s="268"/>
      <c r="EG174" s="268"/>
    </row>
    <row r="175" spans="1:137" s="283" customFormat="1" ht="18" customHeight="1" x14ac:dyDescent="0.35">
      <c r="A175" s="274">
        <f>MATCH(B175,STUDIES!$A$3:$A$502,0)</f>
        <v>15</v>
      </c>
      <c r="B175" s="272" t="s">
        <v>354</v>
      </c>
      <c r="C175" s="435"/>
      <c r="D175" s="281" t="s">
        <v>148</v>
      </c>
      <c r="E175" s="272" t="s">
        <v>1163</v>
      </c>
      <c r="F175" s="155" t="str">
        <f>_xlfn.XLOOKUP(B175,STUDIES!$A$3:$A$1063,STUDIES!$G$3:$G$1063,"Not Found!")</f>
        <v>A</v>
      </c>
      <c r="G175" s="273" t="s">
        <v>147</v>
      </c>
      <c r="H175" s="273">
        <v>16</v>
      </c>
      <c r="I175" s="273">
        <v>27</v>
      </c>
      <c r="J175" s="274">
        <v>3</v>
      </c>
      <c r="K175" s="268"/>
      <c r="L175" s="268"/>
      <c r="M175" s="268"/>
      <c r="N175" s="268"/>
      <c r="O175" s="268"/>
      <c r="P175" s="268"/>
      <c r="Q175" s="275"/>
      <c r="R175" s="276"/>
      <c r="S175" s="268"/>
      <c r="T175" s="268"/>
      <c r="U175" s="268"/>
      <c r="V175" s="268"/>
      <c r="W175" s="268"/>
      <c r="X175" s="276"/>
      <c r="Y175" s="268"/>
      <c r="Z175" s="268"/>
      <c r="AA175" s="268"/>
      <c r="AB175" s="268"/>
      <c r="AC175" s="268"/>
      <c r="AD175" s="276"/>
      <c r="AE175" s="268"/>
      <c r="AF175" s="268"/>
      <c r="AG175" s="268"/>
      <c r="AH175" s="268"/>
      <c r="AI175" s="268"/>
      <c r="AJ175" s="276"/>
      <c r="AK175" s="268"/>
      <c r="AL175" s="268"/>
      <c r="AM175" s="268"/>
      <c r="AN175" s="268"/>
      <c r="AO175" s="275"/>
      <c r="AP175" s="268"/>
      <c r="AQ175" s="268"/>
      <c r="AR175" s="268"/>
      <c r="AS175" s="268"/>
      <c r="AT175" s="268"/>
      <c r="AU175" s="275"/>
      <c r="AV175" s="268"/>
      <c r="AW175" s="268"/>
      <c r="AX175" s="268"/>
      <c r="AY175" s="268"/>
      <c r="AZ175" s="268"/>
      <c r="BA175" s="268"/>
      <c r="BB175" s="268"/>
      <c r="BC175" s="268"/>
      <c r="BD175" s="268"/>
      <c r="BE175" s="268"/>
      <c r="BF175" s="268"/>
      <c r="BG175" s="268"/>
      <c r="BH175" s="268"/>
      <c r="BI175" s="268"/>
      <c r="BJ175" s="268"/>
      <c r="BK175" s="268"/>
      <c r="BL175" s="268"/>
      <c r="BM175" s="268"/>
      <c r="BN175" s="268"/>
      <c r="BO175" s="268"/>
      <c r="BP175" s="268"/>
      <c r="BQ175" s="268"/>
      <c r="BR175" s="268"/>
      <c r="BS175" s="268"/>
      <c r="BT175" s="268"/>
      <c r="BU175" s="268"/>
      <c r="BV175" s="268"/>
      <c r="BW175" s="268"/>
      <c r="BX175" s="268"/>
      <c r="BY175" s="268"/>
      <c r="BZ175" s="268"/>
      <c r="CA175" s="268"/>
      <c r="CB175" s="268"/>
      <c r="CC175" s="268"/>
      <c r="CD175" s="268"/>
      <c r="CE175" s="268"/>
      <c r="CF175" s="268"/>
      <c r="CG175" s="268"/>
      <c r="CH175" s="268"/>
      <c r="CI175" s="268"/>
      <c r="CJ175" s="268"/>
      <c r="CK175" s="268"/>
      <c r="CL175" s="268"/>
      <c r="CM175" s="268"/>
      <c r="CN175" s="268"/>
      <c r="CO175" s="268"/>
      <c r="CP175" s="268"/>
      <c r="CQ175" s="268"/>
      <c r="CR175" s="268"/>
      <c r="CS175" s="268"/>
      <c r="CT175" s="268"/>
      <c r="CU175" s="268"/>
      <c r="CV175" s="268"/>
      <c r="CW175" s="268"/>
      <c r="CX175" s="268"/>
      <c r="CY175" s="268"/>
      <c r="CZ175" s="268"/>
      <c r="DA175" s="268"/>
      <c r="DB175" s="268"/>
      <c r="DC175" s="268"/>
      <c r="DD175" s="268"/>
      <c r="DE175" s="268"/>
      <c r="DF175" s="268"/>
      <c r="DG175" s="268"/>
      <c r="DH175" s="268"/>
      <c r="DI175" s="268"/>
      <c r="DJ175" s="268"/>
      <c r="DK175" s="268"/>
      <c r="DL175" s="268"/>
      <c r="DM175" s="268"/>
      <c r="DN175" s="268"/>
      <c r="DO175" s="268"/>
      <c r="DP175" s="268"/>
      <c r="DQ175" s="268"/>
      <c r="DR175" s="268"/>
      <c r="DS175" s="268"/>
      <c r="DT175" s="268"/>
      <c r="DU175" s="268"/>
      <c r="DV175" s="268"/>
      <c r="DW175" s="268"/>
      <c r="DX175" s="268"/>
      <c r="DY175" s="268"/>
      <c r="DZ175" s="268"/>
      <c r="EA175" s="268"/>
      <c r="EB175" s="268"/>
      <c r="EC175" s="268"/>
      <c r="ED175" s="268"/>
      <c r="EE175" s="268"/>
      <c r="EF175" s="268"/>
      <c r="EG175" s="268"/>
    </row>
    <row r="176" spans="1:137" s="283" customFormat="1" ht="18" customHeight="1" x14ac:dyDescent="0.35">
      <c r="A176" s="274">
        <f>MATCH(B176,STUDIES!$A$3:$A$502,0)</f>
        <v>15</v>
      </c>
      <c r="B176" s="272" t="s">
        <v>354</v>
      </c>
      <c r="C176" s="435"/>
      <c r="D176" s="281" t="s">
        <v>148</v>
      </c>
      <c r="E176" s="272" t="s">
        <v>1167</v>
      </c>
      <c r="F176" s="155" t="str">
        <f>_xlfn.XLOOKUP(B176,STUDIES!$A$3:$A$1063,STUDIES!$G$3:$G$1063,"Not Found!")</f>
        <v>A</v>
      </c>
      <c r="G176" s="273" t="s">
        <v>147</v>
      </c>
      <c r="H176" s="273">
        <v>16</v>
      </c>
      <c r="I176" s="273">
        <v>27</v>
      </c>
      <c r="J176" s="274">
        <v>4</v>
      </c>
      <c r="K176" s="268"/>
      <c r="L176" s="268"/>
      <c r="M176" s="268"/>
      <c r="N176" s="268"/>
      <c r="O176" s="268"/>
      <c r="P176" s="268"/>
      <c r="Q176" s="275"/>
      <c r="R176" s="276"/>
      <c r="S176" s="268"/>
      <c r="T176" s="268"/>
      <c r="U176" s="268"/>
      <c r="V176" s="268"/>
      <c r="W176" s="268"/>
      <c r="X176" s="276"/>
      <c r="Y176" s="268"/>
      <c r="Z176" s="268"/>
      <c r="AA176" s="268"/>
      <c r="AB176" s="268"/>
      <c r="AC176" s="268"/>
      <c r="AD176" s="276"/>
      <c r="AE176" s="268"/>
      <c r="AF176" s="268"/>
      <c r="AG176" s="268"/>
      <c r="AH176" s="268"/>
      <c r="AI176" s="268"/>
      <c r="AJ176" s="276"/>
      <c r="AK176" s="268"/>
      <c r="AL176" s="268"/>
      <c r="AM176" s="268"/>
      <c r="AN176" s="268"/>
      <c r="AO176" s="275"/>
      <c r="AP176" s="268"/>
      <c r="AQ176" s="268"/>
      <c r="AR176" s="268"/>
      <c r="AS176" s="268"/>
      <c r="AT176" s="268"/>
      <c r="AU176" s="275"/>
      <c r="AV176" s="268"/>
      <c r="AW176" s="268"/>
      <c r="AX176" s="268"/>
      <c r="AY176" s="268"/>
      <c r="AZ176" s="268"/>
      <c r="BA176" s="268"/>
      <c r="BB176" s="268"/>
      <c r="BC176" s="268"/>
      <c r="BD176" s="268"/>
      <c r="BE176" s="268"/>
      <c r="BF176" s="268"/>
      <c r="BG176" s="268"/>
      <c r="BH176" s="268"/>
      <c r="BI176" s="268"/>
      <c r="BJ176" s="268"/>
      <c r="BK176" s="268"/>
      <c r="BL176" s="268"/>
      <c r="BM176" s="268"/>
      <c r="BN176" s="268"/>
      <c r="BO176" s="268"/>
      <c r="BP176" s="268"/>
      <c r="BQ176" s="268"/>
      <c r="BR176" s="268"/>
      <c r="BS176" s="268"/>
      <c r="BT176" s="268"/>
      <c r="BU176" s="268"/>
      <c r="BV176" s="268"/>
      <c r="BW176" s="268"/>
      <c r="BX176" s="268"/>
      <c r="BY176" s="268"/>
      <c r="BZ176" s="268"/>
      <c r="CA176" s="268"/>
      <c r="CB176" s="268"/>
      <c r="CC176" s="268"/>
      <c r="CD176" s="268"/>
      <c r="CE176" s="268"/>
      <c r="CF176" s="268"/>
      <c r="CG176" s="268"/>
      <c r="CH176" s="268"/>
      <c r="CI176" s="268"/>
      <c r="CJ176" s="268"/>
      <c r="CK176" s="268"/>
      <c r="CL176" s="268"/>
      <c r="CM176" s="268"/>
      <c r="CN176" s="268"/>
      <c r="CO176" s="268"/>
      <c r="CP176" s="268"/>
      <c r="CQ176" s="268"/>
      <c r="CR176" s="268"/>
      <c r="CS176" s="268"/>
      <c r="CT176" s="268"/>
      <c r="CU176" s="268"/>
      <c r="CV176" s="268"/>
      <c r="CW176" s="268"/>
      <c r="CX176" s="268"/>
      <c r="CY176" s="268"/>
      <c r="CZ176" s="268"/>
      <c r="DA176" s="268"/>
      <c r="DB176" s="268"/>
      <c r="DC176" s="268"/>
      <c r="DD176" s="268"/>
      <c r="DE176" s="268"/>
      <c r="DF176" s="268"/>
      <c r="DG176" s="268"/>
      <c r="DH176" s="268"/>
      <c r="DI176" s="268"/>
      <c r="DJ176" s="268"/>
      <c r="DK176" s="268"/>
      <c r="DL176" s="268"/>
      <c r="DM176" s="268"/>
      <c r="DN176" s="268"/>
      <c r="DO176" s="268"/>
      <c r="DP176" s="268"/>
      <c r="DQ176" s="268"/>
      <c r="DR176" s="268"/>
      <c r="DS176" s="268"/>
      <c r="DT176" s="268"/>
      <c r="DU176" s="268"/>
      <c r="DV176" s="268"/>
      <c r="DW176" s="268"/>
      <c r="DX176" s="268"/>
      <c r="DY176" s="268"/>
      <c r="DZ176" s="268"/>
      <c r="EA176" s="268"/>
      <c r="EB176" s="268"/>
      <c r="EC176" s="268"/>
      <c r="ED176" s="268"/>
      <c r="EE176" s="268"/>
      <c r="EF176" s="268"/>
      <c r="EG176" s="268"/>
    </row>
    <row r="177" spans="1:137" s="283" customFormat="1" ht="18" customHeight="1" x14ac:dyDescent="0.35">
      <c r="A177" s="274">
        <f>MATCH(B177,STUDIES!$A$3:$A$502,0)</f>
        <v>16</v>
      </c>
      <c r="B177" s="270" t="s">
        <v>353</v>
      </c>
      <c r="C177" s="459"/>
      <c r="D177" s="278" t="s">
        <v>1062</v>
      </c>
      <c r="E177" s="256" t="s">
        <v>151</v>
      </c>
      <c r="F177" s="155" t="str">
        <f>_xlfn.XLOOKUP(B177,STUDIES!$A$3:$A$1063,STUDIES!$G$3:$G$1063,"Not Found!")</f>
        <v>A</v>
      </c>
      <c r="G177" s="257" t="s">
        <v>147</v>
      </c>
      <c r="H177" s="257">
        <v>8</v>
      </c>
      <c r="I177" s="257">
        <v>46</v>
      </c>
      <c r="J177" s="258"/>
      <c r="K177" s="259">
        <v>25.1</v>
      </c>
      <c r="L177" s="260"/>
      <c r="M177" s="260">
        <v>12.3</v>
      </c>
      <c r="N177" s="260"/>
      <c r="O177" s="260"/>
      <c r="P177" s="260"/>
      <c r="Q177" s="271" t="s">
        <v>92</v>
      </c>
      <c r="R177" s="264"/>
      <c r="S177" s="259"/>
      <c r="T177" s="259"/>
      <c r="U177" s="259"/>
      <c r="V177" s="259"/>
      <c r="W177" s="259"/>
      <c r="X177" s="264"/>
      <c r="Y177" s="259"/>
      <c r="Z177" s="259"/>
      <c r="AA177" s="259"/>
      <c r="AB177" s="259"/>
      <c r="AC177" s="259"/>
      <c r="AD177" s="264"/>
      <c r="AE177" s="259"/>
      <c r="AF177" s="259"/>
      <c r="AG177" s="259"/>
      <c r="AH177" s="259"/>
      <c r="AI177" s="259"/>
      <c r="AJ177" s="265">
        <v>-53.948499999999996</v>
      </c>
      <c r="AK177" s="266">
        <v>4.4614999999999991</v>
      </c>
      <c r="AL177" s="266"/>
      <c r="AM177" s="266"/>
      <c r="AN177" s="266"/>
      <c r="AO177" s="267"/>
      <c r="AP177" s="266"/>
      <c r="AQ177" s="266"/>
      <c r="AR177" s="266"/>
      <c r="AS177" s="266"/>
      <c r="AT177" s="266"/>
      <c r="AU177" s="267"/>
      <c r="AV177" s="268"/>
      <c r="AW177" s="268"/>
      <c r="AX177" s="268"/>
      <c r="AY177" s="268"/>
      <c r="AZ177" s="268"/>
      <c r="BA177" s="268"/>
      <c r="BB177" s="268"/>
      <c r="BC177" s="268"/>
      <c r="BD177" s="268"/>
      <c r="BE177" s="268"/>
      <c r="BF177" s="268"/>
      <c r="BG177" s="268"/>
      <c r="BH177" s="268"/>
      <c r="BI177" s="268"/>
      <c r="BJ177" s="268"/>
      <c r="BK177" s="268"/>
      <c r="BL177" s="268"/>
      <c r="BM177" s="268"/>
      <c r="BN177" s="268"/>
      <c r="BO177" s="268"/>
      <c r="BP177" s="268"/>
      <c r="BQ177" s="268"/>
      <c r="BR177" s="268"/>
      <c r="BS177" s="268"/>
      <c r="BT177" s="268"/>
      <c r="BU177" s="268"/>
      <c r="BV177" s="268"/>
      <c r="BW177" s="268"/>
      <c r="BX177" s="268"/>
      <c r="BY177" s="268"/>
      <c r="BZ177" s="268"/>
      <c r="CA177" s="268"/>
      <c r="CB177" s="268"/>
      <c r="CC177" s="268"/>
      <c r="CD177" s="268"/>
      <c r="CE177" s="268"/>
      <c r="CF177" s="268"/>
      <c r="CG177" s="268"/>
      <c r="CH177" s="268"/>
      <c r="CI177" s="268"/>
      <c r="CJ177" s="268"/>
      <c r="CK177" s="268"/>
      <c r="CL177" s="268"/>
      <c r="CM177" s="268"/>
      <c r="CN177" s="268"/>
      <c r="CO177" s="268"/>
      <c r="CP177" s="268"/>
      <c r="CQ177" s="268"/>
      <c r="CR177" s="268"/>
      <c r="CS177" s="268"/>
      <c r="CT177" s="268"/>
      <c r="CU177" s="268"/>
      <c r="CV177" s="268"/>
      <c r="CW177" s="268"/>
      <c r="CX177" s="268"/>
      <c r="CY177" s="268"/>
      <c r="CZ177" s="268"/>
      <c r="DA177" s="268"/>
      <c r="DB177" s="268"/>
      <c r="DC177" s="268"/>
      <c r="DD177" s="268"/>
      <c r="DE177" s="268"/>
      <c r="DF177" s="268"/>
      <c r="DG177" s="268"/>
      <c r="DH177" s="268"/>
      <c r="DI177" s="268"/>
      <c r="DJ177" s="268"/>
      <c r="DK177" s="268"/>
      <c r="DL177" s="268"/>
      <c r="DM177" s="268"/>
      <c r="DN177" s="268"/>
      <c r="DO177" s="268"/>
      <c r="DP177" s="268"/>
      <c r="DQ177" s="268"/>
      <c r="DR177" s="268"/>
      <c r="DS177" s="268"/>
      <c r="DT177" s="268"/>
      <c r="DU177" s="268"/>
      <c r="DV177" s="268"/>
      <c r="DW177" s="268"/>
      <c r="DX177" s="268"/>
      <c r="DY177" s="268"/>
      <c r="DZ177" s="268"/>
      <c r="EA177" s="268"/>
      <c r="EB177" s="268"/>
      <c r="EC177" s="268"/>
      <c r="ED177" s="268"/>
      <c r="EE177" s="268"/>
      <c r="EF177" s="268"/>
      <c r="EG177" s="268"/>
    </row>
    <row r="178" spans="1:137" s="283" customFormat="1" ht="18" customHeight="1" x14ac:dyDescent="0.35">
      <c r="A178" s="274">
        <f>MATCH(B178,STUDIES!$A$3:$A$502,0)</f>
        <v>16</v>
      </c>
      <c r="B178" s="270" t="s">
        <v>353</v>
      </c>
      <c r="C178" s="459"/>
      <c r="D178" s="278" t="s">
        <v>1062</v>
      </c>
      <c r="E178" s="256" t="s">
        <v>348</v>
      </c>
      <c r="F178" s="155" t="str">
        <f>_xlfn.XLOOKUP(B178,STUDIES!$A$3:$A$1063,STUDIES!$G$3:$G$1063,"Not Found!")</f>
        <v>A</v>
      </c>
      <c r="G178" s="257" t="s">
        <v>147</v>
      </c>
      <c r="H178" s="257">
        <v>10</v>
      </c>
      <c r="I178" s="257">
        <v>46</v>
      </c>
      <c r="J178" s="258"/>
      <c r="K178" s="259"/>
      <c r="L178" s="259"/>
      <c r="M178" s="259"/>
      <c r="N178" s="259"/>
      <c r="O178" s="259"/>
      <c r="P178" s="259"/>
      <c r="Q178" s="271" t="s">
        <v>90</v>
      </c>
      <c r="R178" s="264">
        <v>-2.7</v>
      </c>
      <c r="S178" s="259"/>
      <c r="T178" s="259">
        <v>2.5</v>
      </c>
      <c r="U178" s="259"/>
      <c r="V178" s="259"/>
      <c r="W178" s="259"/>
      <c r="X178" s="264"/>
      <c r="Y178" s="259"/>
      <c r="Z178" s="259"/>
      <c r="AA178" s="259"/>
      <c r="AB178" s="259"/>
      <c r="AC178" s="259"/>
      <c r="AD178" s="264"/>
      <c r="AE178" s="259"/>
      <c r="AF178" s="259"/>
      <c r="AG178" s="259"/>
      <c r="AH178" s="259"/>
      <c r="AI178" s="259"/>
      <c r="AJ178" s="265"/>
      <c r="AK178" s="266"/>
      <c r="AL178" s="266"/>
      <c r="AM178" s="266"/>
      <c r="AN178" s="266"/>
      <c r="AO178" s="267"/>
      <c r="AP178" s="266"/>
      <c r="AQ178" s="266"/>
      <c r="AR178" s="266"/>
      <c r="AS178" s="266"/>
      <c r="AT178" s="266"/>
      <c r="AU178" s="267"/>
      <c r="AV178" s="268"/>
      <c r="AW178" s="268"/>
      <c r="AX178" s="268"/>
      <c r="AY178" s="268"/>
      <c r="AZ178" s="268"/>
      <c r="BA178" s="268"/>
      <c r="BB178" s="268"/>
      <c r="BC178" s="268"/>
      <c r="BD178" s="268"/>
      <c r="BE178" s="268"/>
      <c r="BF178" s="268"/>
      <c r="BG178" s="268"/>
      <c r="BH178" s="268"/>
      <c r="BI178" s="268"/>
      <c r="BJ178" s="268"/>
      <c r="BK178" s="268"/>
      <c r="BL178" s="268"/>
      <c r="BM178" s="268"/>
      <c r="BN178" s="268"/>
      <c r="BO178" s="268"/>
      <c r="BP178" s="268"/>
      <c r="BQ178" s="268"/>
      <c r="BR178" s="268"/>
      <c r="BS178" s="268"/>
      <c r="BT178" s="268"/>
      <c r="BU178" s="268"/>
      <c r="BV178" s="268"/>
      <c r="BW178" s="268"/>
      <c r="BX178" s="268"/>
      <c r="BY178" s="268"/>
      <c r="BZ178" s="268"/>
      <c r="CA178" s="268"/>
      <c r="CB178" s="268"/>
      <c r="CC178" s="268"/>
      <c r="CD178" s="268"/>
      <c r="CE178" s="268"/>
      <c r="CF178" s="268"/>
      <c r="CG178" s="268"/>
      <c r="CH178" s="268"/>
      <c r="CI178" s="268"/>
      <c r="CJ178" s="268"/>
      <c r="CK178" s="268"/>
      <c r="CL178" s="268"/>
      <c r="CM178" s="268"/>
      <c r="CN178" s="268"/>
      <c r="CO178" s="268"/>
      <c r="CP178" s="268"/>
      <c r="CQ178" s="268"/>
      <c r="CR178" s="268"/>
      <c r="CS178" s="268"/>
      <c r="CT178" s="268"/>
      <c r="CU178" s="268"/>
      <c r="CV178" s="268"/>
      <c r="CW178" s="268"/>
      <c r="CX178" s="268"/>
      <c r="CY178" s="268"/>
      <c r="CZ178" s="268"/>
      <c r="DA178" s="268"/>
      <c r="DB178" s="268"/>
      <c r="DC178" s="268"/>
      <c r="DD178" s="268"/>
      <c r="DE178" s="268"/>
      <c r="DF178" s="268"/>
      <c r="DG178" s="268"/>
      <c r="DH178" s="268"/>
      <c r="DI178" s="268"/>
      <c r="DJ178" s="268"/>
      <c r="DK178" s="268"/>
      <c r="DL178" s="268"/>
      <c r="DM178" s="268"/>
      <c r="DN178" s="268"/>
      <c r="DO178" s="268"/>
      <c r="DP178" s="268"/>
      <c r="DQ178" s="268"/>
      <c r="DR178" s="268"/>
      <c r="DS178" s="268"/>
      <c r="DT178" s="268"/>
      <c r="DU178" s="268"/>
      <c r="DV178" s="268"/>
      <c r="DW178" s="268"/>
      <c r="DX178" s="268"/>
      <c r="DY178" s="268"/>
      <c r="DZ178" s="268"/>
      <c r="EA178" s="268"/>
      <c r="EB178" s="268"/>
      <c r="EC178" s="268"/>
      <c r="ED178" s="268"/>
      <c r="EE178" s="268"/>
      <c r="EF178" s="268"/>
      <c r="EG178" s="268"/>
    </row>
    <row r="179" spans="1:137" s="283" customFormat="1" ht="18" customHeight="1" x14ac:dyDescent="0.35">
      <c r="A179" s="274">
        <f>MATCH(B179,STUDIES!$A$3:$A$502,0)</f>
        <v>16</v>
      </c>
      <c r="B179" s="272" t="s">
        <v>353</v>
      </c>
      <c r="C179" s="435"/>
      <c r="D179" s="281" t="s">
        <v>1062</v>
      </c>
      <c r="E179" s="272" t="s">
        <v>1163</v>
      </c>
      <c r="F179" s="155" t="str">
        <f>_xlfn.XLOOKUP(B179,STUDIES!$A$3:$A$1063,STUDIES!$G$3:$G$1063,"Not Found!")</f>
        <v>A</v>
      </c>
      <c r="G179" s="273" t="s">
        <v>147</v>
      </c>
      <c r="H179" s="273">
        <v>8</v>
      </c>
      <c r="I179" s="273">
        <v>46</v>
      </c>
      <c r="J179" s="274">
        <v>1</v>
      </c>
      <c r="K179" s="268"/>
      <c r="L179" s="268"/>
      <c r="M179" s="268"/>
      <c r="N179" s="268"/>
      <c r="O179" s="268"/>
      <c r="P179" s="268"/>
      <c r="Q179" s="275"/>
      <c r="R179" s="276"/>
      <c r="S179" s="268"/>
      <c r="T179" s="268"/>
      <c r="U179" s="268"/>
      <c r="V179" s="268"/>
      <c r="W179" s="268"/>
      <c r="X179" s="276"/>
      <c r="Y179" s="268"/>
      <c r="Z179" s="268"/>
      <c r="AA179" s="268"/>
      <c r="AB179" s="268"/>
      <c r="AC179" s="268"/>
      <c r="AD179" s="276"/>
      <c r="AE179" s="268"/>
      <c r="AF179" s="268"/>
      <c r="AG179" s="268"/>
      <c r="AH179" s="268"/>
      <c r="AI179" s="268"/>
      <c r="AJ179" s="276"/>
      <c r="AK179" s="268"/>
      <c r="AL179" s="268"/>
      <c r="AM179" s="268"/>
      <c r="AN179" s="268"/>
      <c r="AO179" s="275"/>
      <c r="AP179" s="268"/>
      <c r="AQ179" s="268"/>
      <c r="AR179" s="268"/>
      <c r="AS179" s="268"/>
      <c r="AT179" s="268"/>
      <c r="AU179" s="275"/>
      <c r="AV179" s="268"/>
      <c r="AW179" s="268"/>
      <c r="AX179" s="268"/>
      <c r="AY179" s="268"/>
      <c r="AZ179" s="268"/>
      <c r="BA179" s="268"/>
      <c r="BB179" s="268"/>
      <c r="BC179" s="268"/>
      <c r="BD179" s="268"/>
      <c r="BE179" s="268"/>
      <c r="BF179" s="268"/>
      <c r="BG179" s="268"/>
      <c r="BH179" s="268"/>
      <c r="BI179" s="268"/>
      <c r="BJ179" s="268"/>
      <c r="BK179" s="268"/>
      <c r="BL179" s="268"/>
      <c r="BM179" s="268"/>
      <c r="BN179" s="268"/>
      <c r="BO179" s="268"/>
      <c r="BP179" s="268"/>
      <c r="BQ179" s="268"/>
      <c r="BR179" s="268"/>
      <c r="BS179" s="268"/>
      <c r="BT179" s="268"/>
      <c r="BU179" s="268"/>
      <c r="BV179" s="268"/>
      <c r="BW179" s="268"/>
      <c r="BX179" s="268"/>
      <c r="BY179" s="268"/>
      <c r="BZ179" s="268"/>
      <c r="CA179" s="268"/>
      <c r="CB179" s="268"/>
      <c r="CC179" s="268"/>
      <c r="CD179" s="268"/>
      <c r="CE179" s="268"/>
      <c r="CF179" s="268"/>
      <c r="CG179" s="268"/>
      <c r="CH179" s="268"/>
      <c r="CI179" s="268"/>
      <c r="CJ179" s="268"/>
      <c r="CK179" s="268"/>
      <c r="CL179" s="268"/>
      <c r="CM179" s="268"/>
      <c r="CN179" s="268"/>
      <c r="CO179" s="268"/>
      <c r="CP179" s="268"/>
      <c r="CQ179" s="268"/>
      <c r="CR179" s="268"/>
      <c r="CS179" s="268"/>
      <c r="CT179" s="268"/>
      <c r="CU179" s="268"/>
      <c r="CV179" s="268"/>
      <c r="CW179" s="268"/>
      <c r="CX179" s="268"/>
      <c r="CY179" s="268"/>
      <c r="CZ179" s="268"/>
      <c r="DA179" s="268"/>
      <c r="DB179" s="268"/>
      <c r="DC179" s="268"/>
      <c r="DD179" s="268"/>
      <c r="DE179" s="268"/>
      <c r="DF179" s="268"/>
      <c r="DG179" s="268"/>
      <c r="DH179" s="268"/>
      <c r="DI179" s="268"/>
      <c r="DJ179" s="268"/>
      <c r="DK179" s="268"/>
      <c r="DL179" s="268"/>
      <c r="DM179" s="268"/>
      <c r="DN179" s="268"/>
      <c r="DO179" s="268"/>
      <c r="DP179" s="268"/>
      <c r="DQ179" s="268"/>
      <c r="DR179" s="268"/>
      <c r="DS179" s="268"/>
      <c r="DT179" s="268"/>
      <c r="DU179" s="268"/>
      <c r="DV179" s="268"/>
      <c r="DW179" s="268"/>
      <c r="DX179" s="268"/>
      <c r="DY179" s="268"/>
      <c r="DZ179" s="268"/>
      <c r="EA179" s="268"/>
      <c r="EB179" s="268"/>
      <c r="EC179" s="268"/>
      <c r="ED179" s="268"/>
      <c r="EE179" s="268"/>
      <c r="EF179" s="268"/>
      <c r="EG179" s="268"/>
    </row>
    <row r="180" spans="1:137" s="283" customFormat="1" ht="18" customHeight="1" x14ac:dyDescent="0.35">
      <c r="A180" s="274">
        <f>MATCH(B180,STUDIES!$A$3:$A$502,0)</f>
        <v>16</v>
      </c>
      <c r="B180" s="272" t="s">
        <v>353</v>
      </c>
      <c r="C180" s="435"/>
      <c r="D180" s="281" t="s">
        <v>1062</v>
      </c>
      <c r="E180" s="272" t="s">
        <v>1167</v>
      </c>
      <c r="F180" s="155" t="str">
        <f>_xlfn.XLOOKUP(B180,STUDIES!$A$3:$A$1063,STUDIES!$G$3:$G$1063,"Not Found!")</f>
        <v>A</v>
      </c>
      <c r="G180" s="273" t="s">
        <v>147</v>
      </c>
      <c r="H180" s="273">
        <v>8</v>
      </c>
      <c r="I180" s="273">
        <v>46</v>
      </c>
      <c r="J180" s="274">
        <v>2</v>
      </c>
      <c r="K180" s="268"/>
      <c r="L180" s="268"/>
      <c r="M180" s="268"/>
      <c r="N180" s="268"/>
      <c r="O180" s="268"/>
      <c r="P180" s="268"/>
      <c r="Q180" s="275"/>
      <c r="R180" s="276"/>
      <c r="S180" s="268"/>
      <c r="T180" s="268"/>
      <c r="U180" s="268"/>
      <c r="V180" s="268"/>
      <c r="W180" s="268"/>
      <c r="X180" s="276"/>
      <c r="Y180" s="268"/>
      <c r="Z180" s="268"/>
      <c r="AA180" s="268"/>
      <c r="AB180" s="268"/>
      <c r="AC180" s="268"/>
      <c r="AD180" s="276"/>
      <c r="AE180" s="268"/>
      <c r="AF180" s="268"/>
      <c r="AG180" s="268"/>
      <c r="AH180" s="268"/>
      <c r="AI180" s="268"/>
      <c r="AJ180" s="276"/>
      <c r="AK180" s="268"/>
      <c r="AL180" s="268"/>
      <c r="AM180" s="268"/>
      <c r="AN180" s="268"/>
      <c r="AO180" s="275"/>
      <c r="AP180" s="268"/>
      <c r="AQ180" s="268"/>
      <c r="AR180" s="268"/>
      <c r="AS180" s="268"/>
      <c r="AT180" s="268"/>
      <c r="AU180" s="275"/>
      <c r="AV180" s="268"/>
      <c r="AW180" s="268"/>
      <c r="AX180" s="268"/>
      <c r="AY180" s="268"/>
      <c r="AZ180" s="268"/>
      <c r="BA180" s="268"/>
      <c r="BB180" s="268"/>
      <c r="BC180" s="268"/>
      <c r="BD180" s="268"/>
      <c r="BE180" s="268"/>
      <c r="BF180" s="268"/>
      <c r="BG180" s="268"/>
      <c r="BH180" s="268"/>
      <c r="BI180" s="268"/>
      <c r="BJ180" s="268"/>
      <c r="BK180" s="268"/>
      <c r="BL180" s="268"/>
      <c r="BM180" s="268"/>
      <c r="BN180" s="268"/>
      <c r="BO180" s="268"/>
      <c r="BP180" s="268"/>
      <c r="BQ180" s="268"/>
      <c r="BR180" s="268"/>
      <c r="BS180" s="268"/>
      <c r="BT180" s="268"/>
      <c r="BU180" s="268"/>
      <c r="BV180" s="268"/>
      <c r="BW180" s="268"/>
      <c r="BX180" s="268"/>
      <c r="BY180" s="268"/>
      <c r="BZ180" s="268"/>
      <c r="CA180" s="268"/>
      <c r="CB180" s="268"/>
      <c r="CC180" s="268"/>
      <c r="CD180" s="268"/>
      <c r="CE180" s="268"/>
      <c r="CF180" s="268"/>
      <c r="CG180" s="268"/>
      <c r="CH180" s="268"/>
      <c r="CI180" s="268"/>
      <c r="CJ180" s="268"/>
      <c r="CK180" s="268"/>
      <c r="CL180" s="268"/>
      <c r="CM180" s="268"/>
      <c r="CN180" s="268"/>
      <c r="CO180" s="268"/>
      <c r="CP180" s="268"/>
      <c r="CQ180" s="268"/>
      <c r="CR180" s="268"/>
      <c r="CS180" s="268"/>
      <c r="CT180" s="268"/>
      <c r="CU180" s="268"/>
      <c r="CV180" s="268"/>
      <c r="CW180" s="268"/>
      <c r="CX180" s="268"/>
      <c r="CY180" s="268"/>
      <c r="CZ180" s="268"/>
      <c r="DA180" s="268"/>
      <c r="DB180" s="268"/>
      <c r="DC180" s="268"/>
      <c r="DD180" s="268"/>
      <c r="DE180" s="268"/>
      <c r="DF180" s="268"/>
      <c r="DG180" s="268"/>
      <c r="DH180" s="268"/>
      <c r="DI180" s="268"/>
      <c r="DJ180" s="268"/>
      <c r="DK180" s="268"/>
      <c r="DL180" s="268"/>
      <c r="DM180" s="268"/>
      <c r="DN180" s="268"/>
      <c r="DO180" s="268"/>
      <c r="DP180" s="268"/>
      <c r="DQ180" s="268"/>
      <c r="DR180" s="268"/>
      <c r="DS180" s="268"/>
      <c r="DT180" s="268"/>
      <c r="DU180" s="268"/>
      <c r="DV180" s="268"/>
      <c r="DW180" s="268"/>
      <c r="DX180" s="268"/>
      <c r="DY180" s="268"/>
      <c r="DZ180" s="268"/>
      <c r="EA180" s="268"/>
      <c r="EB180" s="268"/>
      <c r="EC180" s="268"/>
      <c r="ED180" s="268"/>
      <c r="EE180" s="268"/>
      <c r="EF180" s="268"/>
      <c r="EG180" s="268"/>
    </row>
    <row r="181" spans="1:137" s="283" customFormat="1" ht="18" customHeight="1" x14ac:dyDescent="0.35">
      <c r="A181" s="274">
        <f>MATCH(B181,STUDIES!$A$3:$A$502,0)</f>
        <v>16</v>
      </c>
      <c r="B181" s="270" t="s">
        <v>353</v>
      </c>
      <c r="C181" s="459"/>
      <c r="D181" s="278" t="s">
        <v>148</v>
      </c>
      <c r="E181" s="256" t="s">
        <v>151</v>
      </c>
      <c r="F181" s="155" t="str">
        <f>_xlfn.XLOOKUP(B181,STUDIES!$A$3:$A$1063,STUDIES!$G$3:$G$1063,"Not Found!")</f>
        <v>A</v>
      </c>
      <c r="G181" s="257" t="s">
        <v>147</v>
      </c>
      <c r="H181" s="257">
        <v>8</v>
      </c>
      <c r="I181" s="257">
        <v>16</v>
      </c>
      <c r="J181" s="258"/>
      <c r="K181" s="259">
        <v>23.3</v>
      </c>
      <c r="L181" s="260"/>
      <c r="M181" s="260">
        <v>9.4</v>
      </c>
      <c r="N181" s="260"/>
      <c r="O181" s="260"/>
      <c r="P181" s="260"/>
      <c r="Q181" s="271" t="s">
        <v>92</v>
      </c>
      <c r="R181" s="264"/>
      <c r="S181" s="259"/>
      <c r="T181" s="259"/>
      <c r="U181" s="259"/>
      <c r="V181" s="259"/>
      <c r="W181" s="259"/>
      <c r="X181" s="264"/>
      <c r="Y181" s="259"/>
      <c r="Z181" s="259"/>
      <c r="AA181" s="259"/>
      <c r="AB181" s="259"/>
      <c r="AC181" s="259"/>
      <c r="AD181" s="264"/>
      <c r="AE181" s="259"/>
      <c r="AF181" s="259"/>
      <c r="AG181" s="259"/>
      <c r="AH181" s="259"/>
      <c r="AI181" s="259"/>
      <c r="AJ181" s="265">
        <v>-34.420500000000004</v>
      </c>
      <c r="AK181" s="266">
        <v>7.5045000000000002</v>
      </c>
      <c r="AL181" s="266"/>
      <c r="AM181" s="266"/>
      <c r="AN181" s="266"/>
      <c r="AO181" s="267"/>
      <c r="AP181" s="266"/>
      <c r="AQ181" s="266"/>
      <c r="AR181" s="266"/>
      <c r="AS181" s="266"/>
      <c r="AT181" s="266"/>
      <c r="AU181" s="267"/>
      <c r="AV181" s="268"/>
      <c r="AW181" s="268"/>
      <c r="AX181" s="268"/>
      <c r="AY181" s="268"/>
      <c r="AZ181" s="268"/>
      <c r="BA181" s="268"/>
      <c r="BB181" s="268"/>
      <c r="BC181" s="268"/>
      <c r="BD181" s="268"/>
      <c r="BE181" s="268"/>
      <c r="BF181" s="268"/>
      <c r="BG181" s="268"/>
      <c r="BH181" s="268"/>
      <c r="BI181" s="268"/>
      <c r="BJ181" s="268"/>
      <c r="BK181" s="268"/>
      <c r="BL181" s="268"/>
      <c r="BM181" s="268"/>
      <c r="BN181" s="268"/>
      <c r="BO181" s="268"/>
      <c r="BP181" s="268"/>
      <c r="BQ181" s="268"/>
      <c r="BR181" s="268"/>
      <c r="BS181" s="268"/>
      <c r="BT181" s="268"/>
      <c r="BU181" s="268"/>
      <c r="BV181" s="268"/>
      <c r="BW181" s="268"/>
      <c r="BX181" s="268"/>
      <c r="BY181" s="268"/>
      <c r="BZ181" s="268"/>
      <c r="CA181" s="268"/>
      <c r="CB181" s="268"/>
      <c r="CC181" s="268"/>
      <c r="CD181" s="268"/>
      <c r="CE181" s="268"/>
      <c r="CF181" s="268"/>
      <c r="CG181" s="268"/>
      <c r="CH181" s="268"/>
      <c r="CI181" s="268"/>
      <c r="CJ181" s="268"/>
      <c r="CK181" s="268"/>
      <c r="CL181" s="268"/>
      <c r="CM181" s="268"/>
      <c r="CN181" s="268"/>
      <c r="CO181" s="268"/>
      <c r="CP181" s="268"/>
      <c r="CQ181" s="268"/>
      <c r="CR181" s="268"/>
      <c r="CS181" s="268"/>
      <c r="CT181" s="268"/>
      <c r="CU181" s="268"/>
      <c r="CV181" s="268"/>
      <c r="CW181" s="268"/>
      <c r="CX181" s="268"/>
      <c r="CY181" s="268"/>
      <c r="CZ181" s="268"/>
      <c r="DA181" s="268"/>
      <c r="DB181" s="268"/>
      <c r="DC181" s="268"/>
      <c r="DD181" s="268"/>
      <c r="DE181" s="268"/>
      <c r="DF181" s="268"/>
      <c r="DG181" s="268"/>
      <c r="DH181" s="268"/>
      <c r="DI181" s="268"/>
      <c r="DJ181" s="268"/>
      <c r="DK181" s="268"/>
      <c r="DL181" s="268"/>
      <c r="DM181" s="268"/>
      <c r="DN181" s="268"/>
      <c r="DO181" s="268"/>
      <c r="DP181" s="268"/>
      <c r="DQ181" s="268"/>
      <c r="DR181" s="268"/>
      <c r="DS181" s="268"/>
      <c r="DT181" s="268"/>
      <c r="DU181" s="268"/>
      <c r="DV181" s="268"/>
      <c r="DW181" s="268"/>
      <c r="DX181" s="268"/>
      <c r="DY181" s="268"/>
      <c r="DZ181" s="268"/>
      <c r="EA181" s="268"/>
      <c r="EB181" s="268"/>
      <c r="EC181" s="268"/>
      <c r="ED181" s="268"/>
      <c r="EE181" s="268"/>
      <c r="EF181" s="268"/>
      <c r="EG181" s="268"/>
    </row>
    <row r="182" spans="1:137" s="283" customFormat="1" ht="18" customHeight="1" x14ac:dyDescent="0.35">
      <c r="A182" s="274">
        <f>MATCH(B182,STUDIES!$A$3:$A$502,0)</f>
        <v>16</v>
      </c>
      <c r="B182" s="270" t="s">
        <v>353</v>
      </c>
      <c r="C182" s="459"/>
      <c r="D182" s="278" t="s">
        <v>148</v>
      </c>
      <c r="E182" s="256" t="s">
        <v>348</v>
      </c>
      <c r="F182" s="155" t="str">
        <f>_xlfn.XLOOKUP(B182,STUDIES!$A$3:$A$1063,STUDIES!$G$3:$G$1063,"Not Found!")</f>
        <v>A</v>
      </c>
      <c r="G182" s="257" t="s">
        <v>147</v>
      </c>
      <c r="H182" s="257">
        <v>10</v>
      </c>
      <c r="I182" s="257">
        <v>16</v>
      </c>
      <c r="J182" s="258"/>
      <c r="K182" s="259"/>
      <c r="L182" s="259"/>
      <c r="M182" s="259"/>
      <c r="N182" s="259"/>
      <c r="O182" s="259"/>
      <c r="P182" s="259"/>
      <c r="Q182" s="271" t="s">
        <v>90</v>
      </c>
      <c r="R182" s="264">
        <v>-1.5</v>
      </c>
      <c r="S182" s="259"/>
      <c r="T182" s="263">
        <v>1.6</v>
      </c>
      <c r="U182" s="263"/>
      <c r="V182" s="263"/>
      <c r="W182" s="263"/>
      <c r="X182" s="264"/>
      <c r="Y182" s="259"/>
      <c r="Z182" s="259"/>
      <c r="AA182" s="259"/>
      <c r="AB182" s="259"/>
      <c r="AC182" s="259"/>
      <c r="AD182" s="264"/>
      <c r="AE182" s="259"/>
      <c r="AF182" s="259"/>
      <c r="AG182" s="259"/>
      <c r="AH182" s="259"/>
      <c r="AI182" s="259"/>
      <c r="AJ182" s="265"/>
      <c r="AK182" s="266"/>
      <c r="AL182" s="266"/>
      <c r="AM182" s="266"/>
      <c r="AN182" s="266"/>
      <c r="AO182" s="267"/>
      <c r="AP182" s="266"/>
      <c r="AQ182" s="266"/>
      <c r="AR182" s="266"/>
      <c r="AS182" s="266"/>
      <c r="AT182" s="266"/>
      <c r="AU182" s="267"/>
      <c r="AV182" s="268"/>
      <c r="AW182" s="268"/>
      <c r="AX182" s="268"/>
      <c r="AY182" s="268"/>
      <c r="AZ182" s="268"/>
      <c r="BA182" s="268"/>
      <c r="BB182" s="268"/>
      <c r="BC182" s="268"/>
      <c r="BD182" s="268"/>
      <c r="BE182" s="268"/>
      <c r="BF182" s="268"/>
      <c r="BG182" s="268"/>
      <c r="BH182" s="268"/>
      <c r="BI182" s="268"/>
      <c r="BJ182" s="268"/>
      <c r="BK182" s="268"/>
      <c r="BL182" s="268"/>
      <c r="BM182" s="268"/>
      <c r="BN182" s="268"/>
      <c r="BO182" s="268"/>
      <c r="BP182" s="268"/>
      <c r="BQ182" s="268"/>
      <c r="BR182" s="268"/>
      <c r="BS182" s="268"/>
      <c r="BT182" s="268"/>
      <c r="BU182" s="268"/>
      <c r="BV182" s="268"/>
      <c r="BW182" s="268"/>
      <c r="BX182" s="268"/>
      <c r="BY182" s="268"/>
      <c r="BZ182" s="268"/>
      <c r="CA182" s="268"/>
      <c r="CB182" s="268"/>
      <c r="CC182" s="268"/>
      <c r="CD182" s="268"/>
      <c r="CE182" s="268"/>
      <c r="CF182" s="268"/>
      <c r="CG182" s="268"/>
      <c r="CH182" s="268"/>
      <c r="CI182" s="268"/>
      <c r="CJ182" s="268"/>
      <c r="CK182" s="268"/>
      <c r="CL182" s="268"/>
      <c r="CM182" s="268"/>
      <c r="CN182" s="268"/>
      <c r="CO182" s="268"/>
      <c r="CP182" s="268"/>
      <c r="CQ182" s="268"/>
      <c r="CR182" s="268"/>
      <c r="CS182" s="268"/>
      <c r="CT182" s="268"/>
      <c r="CU182" s="268"/>
      <c r="CV182" s="268"/>
      <c r="CW182" s="268"/>
      <c r="CX182" s="268"/>
      <c r="CY182" s="268"/>
      <c r="CZ182" s="268"/>
      <c r="DA182" s="268"/>
      <c r="DB182" s="268"/>
      <c r="DC182" s="268"/>
      <c r="DD182" s="268"/>
      <c r="DE182" s="268"/>
      <c r="DF182" s="268"/>
      <c r="DG182" s="268"/>
      <c r="DH182" s="268"/>
      <c r="DI182" s="268"/>
      <c r="DJ182" s="268"/>
      <c r="DK182" s="268"/>
      <c r="DL182" s="268"/>
      <c r="DM182" s="268"/>
      <c r="DN182" s="268"/>
      <c r="DO182" s="268"/>
      <c r="DP182" s="268"/>
      <c r="DQ182" s="268"/>
      <c r="DR182" s="268"/>
      <c r="DS182" s="268"/>
      <c r="DT182" s="268"/>
      <c r="DU182" s="268"/>
      <c r="DV182" s="268"/>
      <c r="DW182" s="268"/>
      <c r="DX182" s="268"/>
      <c r="DY182" s="268"/>
      <c r="DZ182" s="268"/>
      <c r="EA182" s="268"/>
      <c r="EB182" s="268"/>
      <c r="EC182" s="268"/>
      <c r="ED182" s="268"/>
      <c r="EE182" s="268"/>
      <c r="EF182" s="268"/>
      <c r="EG182" s="268"/>
    </row>
    <row r="183" spans="1:137" s="283" customFormat="1" ht="18" customHeight="1" x14ac:dyDescent="0.35">
      <c r="A183" s="274">
        <f>MATCH(B183,STUDIES!$A$3:$A$502,0)</f>
        <v>16</v>
      </c>
      <c r="B183" s="272" t="s">
        <v>353</v>
      </c>
      <c r="C183" s="435"/>
      <c r="D183" s="281" t="s">
        <v>148</v>
      </c>
      <c r="E183" s="272" t="s">
        <v>1163</v>
      </c>
      <c r="F183" s="155" t="str">
        <f>_xlfn.XLOOKUP(B183,STUDIES!$A$3:$A$1063,STUDIES!$G$3:$G$1063,"Not Found!")</f>
        <v>A</v>
      </c>
      <c r="G183" s="273" t="s">
        <v>147</v>
      </c>
      <c r="H183" s="273">
        <v>8</v>
      </c>
      <c r="I183" s="273">
        <v>16</v>
      </c>
      <c r="J183" s="274">
        <v>1</v>
      </c>
      <c r="K183" s="268"/>
      <c r="L183" s="268"/>
      <c r="M183" s="268"/>
      <c r="N183" s="268"/>
      <c r="O183" s="268"/>
      <c r="P183" s="268"/>
      <c r="Q183" s="275"/>
      <c r="R183" s="276"/>
      <c r="S183" s="268"/>
      <c r="T183" s="268"/>
      <c r="U183" s="268"/>
      <c r="V183" s="268"/>
      <c r="W183" s="268"/>
      <c r="X183" s="276"/>
      <c r="Y183" s="268"/>
      <c r="Z183" s="268"/>
      <c r="AA183" s="268"/>
      <c r="AB183" s="268"/>
      <c r="AC183" s="268"/>
      <c r="AD183" s="276"/>
      <c r="AE183" s="268"/>
      <c r="AF183" s="268"/>
      <c r="AG183" s="268"/>
      <c r="AH183" s="268"/>
      <c r="AI183" s="268"/>
      <c r="AJ183" s="276"/>
      <c r="AK183" s="268"/>
      <c r="AL183" s="268"/>
      <c r="AM183" s="268"/>
      <c r="AN183" s="268"/>
      <c r="AO183" s="275"/>
      <c r="AP183" s="268"/>
      <c r="AQ183" s="268"/>
      <c r="AR183" s="268"/>
      <c r="AS183" s="268"/>
      <c r="AT183" s="268"/>
      <c r="AU183" s="275"/>
      <c r="AV183" s="268"/>
      <c r="AW183" s="268"/>
      <c r="AX183" s="268"/>
      <c r="AY183" s="268"/>
      <c r="AZ183" s="268"/>
      <c r="BA183" s="268"/>
      <c r="BB183" s="268"/>
      <c r="BC183" s="268"/>
      <c r="BD183" s="268"/>
      <c r="BE183" s="268"/>
      <c r="BF183" s="268"/>
      <c r="BG183" s="268"/>
      <c r="BH183" s="268"/>
      <c r="BI183" s="268"/>
      <c r="BJ183" s="268"/>
      <c r="BK183" s="268"/>
      <c r="BL183" s="268"/>
      <c r="BM183" s="268"/>
      <c r="BN183" s="268"/>
      <c r="BO183" s="268"/>
      <c r="BP183" s="268"/>
      <c r="BQ183" s="268"/>
      <c r="BR183" s="268"/>
      <c r="BS183" s="268"/>
      <c r="BT183" s="268"/>
      <c r="BU183" s="268"/>
      <c r="BV183" s="268"/>
      <c r="BW183" s="268"/>
      <c r="BX183" s="268"/>
      <c r="BY183" s="268"/>
      <c r="BZ183" s="268"/>
      <c r="CA183" s="268"/>
      <c r="CB183" s="268"/>
      <c r="CC183" s="268"/>
      <c r="CD183" s="268"/>
      <c r="CE183" s="268"/>
      <c r="CF183" s="268"/>
      <c r="CG183" s="268"/>
      <c r="CH183" s="268"/>
      <c r="CI183" s="268"/>
      <c r="CJ183" s="268"/>
      <c r="CK183" s="268"/>
      <c r="CL183" s="268"/>
      <c r="CM183" s="268"/>
      <c r="CN183" s="268"/>
      <c r="CO183" s="268"/>
      <c r="CP183" s="268"/>
      <c r="CQ183" s="268"/>
      <c r="CR183" s="268"/>
      <c r="CS183" s="268"/>
      <c r="CT183" s="268"/>
      <c r="CU183" s="268"/>
      <c r="CV183" s="268"/>
      <c r="CW183" s="268"/>
      <c r="CX183" s="268"/>
      <c r="CY183" s="268"/>
      <c r="CZ183" s="268"/>
      <c r="DA183" s="268"/>
      <c r="DB183" s="268"/>
      <c r="DC183" s="268"/>
      <c r="DD183" s="268"/>
      <c r="DE183" s="268"/>
      <c r="DF183" s="268"/>
      <c r="DG183" s="268"/>
      <c r="DH183" s="268"/>
      <c r="DI183" s="268"/>
      <c r="DJ183" s="268"/>
      <c r="DK183" s="268"/>
      <c r="DL183" s="268"/>
      <c r="DM183" s="268"/>
      <c r="DN183" s="268"/>
      <c r="DO183" s="268"/>
      <c r="DP183" s="268"/>
      <c r="DQ183" s="268"/>
      <c r="DR183" s="268"/>
      <c r="DS183" s="268"/>
      <c r="DT183" s="268"/>
      <c r="DU183" s="268"/>
      <c r="DV183" s="268"/>
      <c r="DW183" s="268"/>
      <c r="DX183" s="268"/>
      <c r="DY183" s="268"/>
      <c r="DZ183" s="268"/>
      <c r="EA183" s="268"/>
      <c r="EB183" s="268"/>
      <c r="EC183" s="268"/>
      <c r="ED183" s="268"/>
      <c r="EE183" s="268"/>
      <c r="EF183" s="268"/>
      <c r="EG183" s="268"/>
    </row>
    <row r="184" spans="1:137" s="283" customFormat="1" ht="18" customHeight="1" x14ac:dyDescent="0.35">
      <c r="A184" s="274">
        <f>MATCH(B184,STUDIES!$A$3:$A$502,0)</f>
        <v>16</v>
      </c>
      <c r="B184" s="272" t="s">
        <v>353</v>
      </c>
      <c r="C184" s="435"/>
      <c r="D184" s="281" t="s">
        <v>148</v>
      </c>
      <c r="E184" s="272" t="s">
        <v>1167</v>
      </c>
      <c r="F184" s="155" t="str">
        <f>_xlfn.XLOOKUP(B184,STUDIES!$A$3:$A$1063,STUDIES!$G$3:$G$1063,"Not Found!")</f>
        <v>A</v>
      </c>
      <c r="G184" s="273" t="s">
        <v>147</v>
      </c>
      <c r="H184" s="273">
        <v>8</v>
      </c>
      <c r="I184" s="273">
        <v>16</v>
      </c>
      <c r="J184" s="274">
        <v>1</v>
      </c>
      <c r="K184" s="268"/>
      <c r="L184" s="268"/>
      <c r="M184" s="268"/>
      <c r="N184" s="268"/>
      <c r="O184" s="268"/>
      <c r="P184" s="268"/>
      <c r="Q184" s="275"/>
      <c r="R184" s="276"/>
      <c r="S184" s="268"/>
      <c r="T184" s="268"/>
      <c r="U184" s="268"/>
      <c r="V184" s="268"/>
      <c r="W184" s="268"/>
      <c r="X184" s="276"/>
      <c r="Y184" s="268"/>
      <c r="Z184" s="268"/>
      <c r="AA184" s="268"/>
      <c r="AB184" s="268"/>
      <c r="AC184" s="268"/>
      <c r="AD184" s="276"/>
      <c r="AE184" s="268"/>
      <c r="AF184" s="268"/>
      <c r="AG184" s="268"/>
      <c r="AH184" s="268"/>
      <c r="AI184" s="268"/>
      <c r="AJ184" s="276"/>
      <c r="AK184" s="268"/>
      <c r="AL184" s="268"/>
      <c r="AM184" s="268"/>
      <c r="AN184" s="268"/>
      <c r="AO184" s="275"/>
      <c r="AP184" s="268"/>
      <c r="AQ184" s="268"/>
      <c r="AR184" s="268"/>
      <c r="AS184" s="268"/>
      <c r="AT184" s="268"/>
      <c r="AU184" s="275"/>
      <c r="AV184" s="268"/>
      <c r="AW184" s="268"/>
      <c r="AX184" s="268"/>
      <c r="AY184" s="268"/>
      <c r="AZ184" s="268"/>
      <c r="BA184" s="268"/>
      <c r="BB184" s="268"/>
      <c r="BC184" s="268"/>
      <c r="BD184" s="268"/>
      <c r="BE184" s="268"/>
      <c r="BF184" s="268"/>
      <c r="BG184" s="268"/>
      <c r="BH184" s="268"/>
      <c r="BI184" s="268"/>
      <c r="BJ184" s="268"/>
      <c r="BK184" s="268"/>
      <c r="BL184" s="268"/>
      <c r="BM184" s="268"/>
      <c r="BN184" s="268"/>
      <c r="BO184" s="268"/>
      <c r="BP184" s="268"/>
      <c r="BQ184" s="268"/>
      <c r="BR184" s="268"/>
      <c r="BS184" s="268"/>
      <c r="BT184" s="268"/>
      <c r="BU184" s="268"/>
      <c r="BV184" s="268"/>
      <c r="BW184" s="268"/>
      <c r="BX184" s="268"/>
      <c r="BY184" s="268"/>
      <c r="BZ184" s="268"/>
      <c r="CA184" s="268"/>
      <c r="CB184" s="268"/>
      <c r="CC184" s="268"/>
      <c r="CD184" s="268"/>
      <c r="CE184" s="268"/>
      <c r="CF184" s="268"/>
      <c r="CG184" s="268"/>
      <c r="CH184" s="268"/>
      <c r="CI184" s="268"/>
      <c r="CJ184" s="268"/>
      <c r="CK184" s="268"/>
      <c r="CL184" s="268"/>
      <c r="CM184" s="268"/>
      <c r="CN184" s="268"/>
      <c r="CO184" s="268"/>
      <c r="CP184" s="268"/>
      <c r="CQ184" s="268"/>
      <c r="CR184" s="268"/>
      <c r="CS184" s="268"/>
      <c r="CT184" s="268"/>
      <c r="CU184" s="268"/>
      <c r="CV184" s="268"/>
      <c r="CW184" s="268"/>
      <c r="CX184" s="268"/>
      <c r="CY184" s="268"/>
      <c r="CZ184" s="268"/>
      <c r="DA184" s="268"/>
      <c r="DB184" s="268"/>
      <c r="DC184" s="268"/>
      <c r="DD184" s="268"/>
      <c r="DE184" s="268"/>
      <c r="DF184" s="268"/>
      <c r="DG184" s="268"/>
      <c r="DH184" s="268"/>
      <c r="DI184" s="268"/>
      <c r="DJ184" s="268"/>
      <c r="DK184" s="268"/>
      <c r="DL184" s="268"/>
      <c r="DM184" s="268"/>
      <c r="DN184" s="268"/>
      <c r="DO184" s="268"/>
      <c r="DP184" s="268"/>
      <c r="DQ184" s="268"/>
      <c r="DR184" s="268"/>
      <c r="DS184" s="268"/>
      <c r="DT184" s="268"/>
      <c r="DU184" s="268"/>
      <c r="DV184" s="268"/>
      <c r="DW184" s="268"/>
      <c r="DX184" s="268"/>
      <c r="DY184" s="268"/>
      <c r="DZ184" s="268"/>
      <c r="EA184" s="268"/>
      <c r="EB184" s="268"/>
      <c r="EC184" s="268"/>
      <c r="ED184" s="268"/>
      <c r="EE184" s="268"/>
      <c r="EF184" s="268"/>
      <c r="EG184" s="268"/>
    </row>
    <row r="185" spans="1:137" s="283" customFormat="1" ht="18" customHeight="1" x14ac:dyDescent="0.35">
      <c r="A185" s="274">
        <f>MATCH(B185,STUDIES!$A$3:$A$502,0)</f>
        <v>17</v>
      </c>
      <c r="B185" s="310" t="s">
        <v>784</v>
      </c>
      <c r="C185" s="460"/>
      <c r="D185" s="308" t="s">
        <v>148</v>
      </c>
      <c r="E185" s="272" t="s">
        <v>151</v>
      </c>
      <c r="F185" s="155" t="str">
        <f>_xlfn.XLOOKUP(B185,STUDIES!$A$3:$A$1063,STUDIES!$G$3:$G$1063,"Not Found!")</f>
        <v>A</v>
      </c>
      <c r="G185" s="273" t="s">
        <v>147</v>
      </c>
      <c r="H185" s="273">
        <v>16</v>
      </c>
      <c r="I185" s="273">
        <v>40</v>
      </c>
      <c r="J185" s="274"/>
      <c r="K185" s="268">
        <v>32.6</v>
      </c>
      <c r="L185" s="268"/>
      <c r="M185" s="268">
        <v>14.5</v>
      </c>
      <c r="N185" s="268"/>
      <c r="O185" s="268"/>
      <c r="P185" s="268"/>
      <c r="Q185" s="275" t="s">
        <v>92</v>
      </c>
      <c r="R185" s="276"/>
      <c r="S185" s="268"/>
      <c r="T185" s="268"/>
      <c r="U185" s="268"/>
      <c r="V185" s="268"/>
      <c r="W185" s="268"/>
      <c r="X185" s="276"/>
      <c r="Y185" s="268"/>
      <c r="Z185" s="268"/>
      <c r="AA185" s="268"/>
      <c r="AB185" s="268"/>
      <c r="AC185" s="268"/>
      <c r="AD185" s="276"/>
      <c r="AE185" s="268"/>
      <c r="AF185" s="268"/>
      <c r="AG185" s="268"/>
      <c r="AH185" s="268"/>
      <c r="AI185" s="268"/>
      <c r="AJ185" s="276">
        <v>-23</v>
      </c>
      <c r="AK185" s="268">
        <v>6.4</v>
      </c>
      <c r="AL185" s="268"/>
      <c r="AM185" s="268"/>
      <c r="AN185" s="268"/>
      <c r="AO185" s="275"/>
      <c r="AP185" s="268"/>
      <c r="AQ185" s="268"/>
      <c r="AR185" s="268"/>
      <c r="AS185" s="268"/>
      <c r="AT185" s="268"/>
      <c r="AU185" s="275"/>
      <c r="AV185" s="268"/>
      <c r="AW185" s="268"/>
      <c r="AX185" s="268"/>
      <c r="AY185" s="268"/>
      <c r="AZ185" s="268"/>
      <c r="BA185" s="268"/>
      <c r="BB185" s="268"/>
      <c r="BC185" s="268"/>
      <c r="BD185" s="268"/>
      <c r="BE185" s="268"/>
      <c r="BF185" s="268"/>
      <c r="BG185" s="268"/>
      <c r="BH185" s="268"/>
      <c r="BI185" s="268"/>
      <c r="BJ185" s="268"/>
      <c r="BK185" s="268"/>
      <c r="BL185" s="268"/>
      <c r="BM185" s="268"/>
      <c r="BN185" s="268"/>
      <c r="BO185" s="268"/>
      <c r="BP185" s="268"/>
      <c r="BQ185" s="268"/>
      <c r="BR185" s="268"/>
      <c r="BS185" s="268"/>
      <c r="BT185" s="268"/>
      <c r="BU185" s="268"/>
      <c r="BV185" s="268"/>
      <c r="BW185" s="268"/>
      <c r="BX185" s="268"/>
      <c r="BY185" s="268"/>
      <c r="BZ185" s="268"/>
      <c r="CA185" s="268"/>
      <c r="CB185" s="268"/>
      <c r="CC185" s="268"/>
      <c r="CD185" s="268"/>
      <c r="CE185" s="268"/>
      <c r="CF185" s="268"/>
      <c r="CG185" s="268"/>
      <c r="CH185" s="268"/>
      <c r="CI185" s="268"/>
      <c r="CJ185" s="268"/>
      <c r="CK185" s="268"/>
      <c r="CL185" s="268"/>
      <c r="CM185" s="268"/>
      <c r="CN185" s="268"/>
      <c r="CO185" s="268"/>
      <c r="CP185" s="268"/>
      <c r="CQ185" s="268"/>
      <c r="CR185" s="268"/>
      <c r="CS185" s="268"/>
      <c r="CT185" s="268"/>
      <c r="CU185" s="268"/>
      <c r="CV185" s="268"/>
      <c r="CW185" s="268"/>
      <c r="CX185" s="268"/>
      <c r="CY185" s="268"/>
      <c r="CZ185" s="268"/>
      <c r="DA185" s="268"/>
      <c r="DB185" s="268"/>
      <c r="DC185" s="268"/>
      <c r="DD185" s="268"/>
      <c r="DE185" s="268"/>
      <c r="DF185" s="268"/>
      <c r="DG185" s="268"/>
      <c r="DH185" s="268"/>
      <c r="DI185" s="268"/>
      <c r="DJ185" s="268"/>
      <c r="DK185" s="268"/>
      <c r="DL185" s="268"/>
      <c r="DM185" s="268"/>
      <c r="DN185" s="268"/>
      <c r="DO185" s="268"/>
      <c r="DP185" s="268"/>
      <c r="DQ185" s="268"/>
      <c r="DR185" s="268"/>
      <c r="DS185" s="268"/>
      <c r="DT185" s="268"/>
      <c r="DU185" s="268"/>
      <c r="DV185" s="268"/>
      <c r="DW185" s="268"/>
      <c r="DX185" s="268"/>
      <c r="DY185" s="268"/>
      <c r="DZ185" s="268"/>
      <c r="EA185" s="268"/>
      <c r="EB185" s="268"/>
      <c r="EC185" s="268"/>
      <c r="ED185" s="268"/>
      <c r="EE185" s="268"/>
      <c r="EF185" s="268"/>
      <c r="EG185" s="268"/>
    </row>
    <row r="186" spans="1:137" s="283" customFormat="1" ht="18" customHeight="1" x14ac:dyDescent="0.35">
      <c r="A186" s="274">
        <f>MATCH(B186,STUDIES!$A$3:$A$502,0)</f>
        <v>17</v>
      </c>
      <c r="B186" s="270" t="s">
        <v>784</v>
      </c>
      <c r="C186" s="459"/>
      <c r="D186" s="269" t="s">
        <v>148</v>
      </c>
      <c r="E186" s="256" t="s">
        <v>153</v>
      </c>
      <c r="F186" s="155" t="str">
        <f>_xlfn.XLOOKUP(B186,STUDIES!$A$3:$A$1063,STUDIES!$G$3:$G$1063,"Not Found!")</f>
        <v>A</v>
      </c>
      <c r="G186" s="257" t="s">
        <v>147</v>
      </c>
      <c r="H186" s="257">
        <v>16</v>
      </c>
      <c r="I186" s="299">
        <v>37</v>
      </c>
      <c r="J186" s="300"/>
      <c r="K186" s="263"/>
      <c r="L186" s="263"/>
      <c r="M186" s="263"/>
      <c r="N186" s="263"/>
      <c r="O186" s="263"/>
      <c r="P186" s="263"/>
      <c r="Q186" s="271" t="s">
        <v>90</v>
      </c>
      <c r="R186" s="264">
        <v>-1.6</v>
      </c>
      <c r="S186" s="259">
        <v>1.5</v>
      </c>
      <c r="T186" s="259"/>
      <c r="U186" s="259"/>
      <c r="V186" s="259"/>
      <c r="W186" s="259"/>
      <c r="X186" s="264"/>
      <c r="Y186" s="259"/>
      <c r="Z186" s="259"/>
      <c r="AA186" s="259"/>
      <c r="AB186" s="259"/>
      <c r="AC186" s="259"/>
      <c r="AD186" s="264"/>
      <c r="AE186" s="259"/>
      <c r="AF186" s="259"/>
      <c r="AG186" s="259"/>
      <c r="AH186" s="259"/>
      <c r="AI186" s="259"/>
      <c r="AJ186" s="265"/>
      <c r="AK186" s="266"/>
      <c r="AL186" s="266"/>
      <c r="AM186" s="266"/>
      <c r="AN186" s="266"/>
      <c r="AO186" s="267"/>
      <c r="AP186" s="266"/>
      <c r="AQ186" s="266"/>
      <c r="AR186" s="266"/>
      <c r="AS186" s="266"/>
      <c r="AT186" s="266"/>
      <c r="AU186" s="267"/>
      <c r="AV186" s="268"/>
      <c r="AW186" s="268"/>
      <c r="AX186" s="268"/>
      <c r="AY186" s="268"/>
      <c r="AZ186" s="268"/>
      <c r="BA186" s="268"/>
      <c r="BB186" s="268"/>
      <c r="BC186" s="268"/>
      <c r="BD186" s="268"/>
      <c r="BE186" s="268"/>
      <c r="BF186" s="268"/>
      <c r="BG186" s="268"/>
      <c r="BH186" s="268"/>
      <c r="BI186" s="268"/>
      <c r="BJ186" s="268"/>
      <c r="BK186" s="268"/>
      <c r="BL186" s="268"/>
      <c r="BM186" s="268"/>
      <c r="BN186" s="268"/>
      <c r="BO186" s="268"/>
      <c r="BP186" s="268"/>
      <c r="BQ186" s="268"/>
      <c r="BR186" s="268"/>
      <c r="BS186" s="268"/>
      <c r="BT186" s="268"/>
      <c r="BU186" s="268"/>
      <c r="BV186" s="268"/>
      <c r="BW186" s="268"/>
      <c r="BX186" s="268"/>
      <c r="BY186" s="268"/>
      <c r="BZ186" s="268"/>
      <c r="CA186" s="268"/>
      <c r="CB186" s="268"/>
      <c r="CC186" s="268"/>
      <c r="CD186" s="268"/>
      <c r="CE186" s="268"/>
      <c r="CF186" s="268"/>
      <c r="CG186" s="268"/>
      <c r="CH186" s="268"/>
      <c r="CI186" s="268"/>
      <c r="CJ186" s="268"/>
      <c r="CK186" s="268"/>
      <c r="CL186" s="268"/>
      <c r="CM186" s="268"/>
      <c r="CN186" s="268"/>
      <c r="CO186" s="268"/>
      <c r="CP186" s="268"/>
      <c r="CQ186" s="268"/>
      <c r="CR186" s="268"/>
      <c r="CS186" s="268"/>
      <c r="CT186" s="268"/>
      <c r="CU186" s="268"/>
      <c r="CV186" s="268"/>
      <c r="CW186" s="268"/>
      <c r="CX186" s="268"/>
      <c r="CY186" s="268"/>
      <c r="CZ186" s="268"/>
      <c r="DA186" s="268"/>
      <c r="DB186" s="268"/>
      <c r="DC186" s="268"/>
      <c r="DD186" s="268"/>
      <c r="DE186" s="268"/>
      <c r="DF186" s="268"/>
      <c r="DG186" s="268"/>
      <c r="DH186" s="268"/>
      <c r="DI186" s="268"/>
      <c r="DJ186" s="268"/>
      <c r="DK186" s="268"/>
      <c r="DL186" s="268"/>
      <c r="DM186" s="268"/>
      <c r="DN186" s="268"/>
      <c r="DO186" s="268"/>
      <c r="DP186" s="268"/>
      <c r="DQ186" s="268"/>
      <c r="DR186" s="268"/>
      <c r="DS186" s="268"/>
      <c r="DT186" s="268"/>
      <c r="DU186" s="268"/>
      <c r="DV186" s="268"/>
      <c r="DW186" s="268"/>
      <c r="DX186" s="268"/>
      <c r="DY186" s="268"/>
      <c r="DZ186" s="268"/>
      <c r="EA186" s="268"/>
      <c r="EB186" s="268"/>
      <c r="EC186" s="268"/>
      <c r="ED186" s="268"/>
      <c r="EE186" s="268"/>
      <c r="EF186" s="268"/>
      <c r="EG186" s="268"/>
    </row>
    <row r="187" spans="1:137" s="283" customFormat="1" ht="18" customHeight="1" x14ac:dyDescent="0.35">
      <c r="A187" s="274">
        <f>MATCH(B187,STUDIES!$A$3:$A$502,0)</f>
        <v>17</v>
      </c>
      <c r="B187" s="310" t="s">
        <v>784</v>
      </c>
      <c r="C187" s="460"/>
      <c r="D187" s="308" t="s">
        <v>148</v>
      </c>
      <c r="E187" s="272" t="s">
        <v>348</v>
      </c>
      <c r="F187" s="155" t="str">
        <f>_xlfn.XLOOKUP(B187,STUDIES!$A$3:$A$1063,STUDIES!$G$3:$G$1063,"Not Found!")</f>
        <v>A</v>
      </c>
      <c r="G187" s="273" t="s">
        <v>147</v>
      </c>
      <c r="H187" s="273">
        <v>16</v>
      </c>
      <c r="I187" s="273">
        <v>40</v>
      </c>
      <c r="J187" s="274"/>
      <c r="K187" s="268">
        <v>6.5</v>
      </c>
      <c r="L187" s="268"/>
      <c r="M187" s="268">
        <v>1.9</v>
      </c>
      <c r="N187" s="268"/>
      <c r="O187" s="268"/>
      <c r="P187" s="268"/>
      <c r="Q187" s="275" t="s">
        <v>15</v>
      </c>
      <c r="R187" s="276"/>
      <c r="S187" s="268"/>
      <c r="T187" s="268"/>
      <c r="U187" s="268"/>
      <c r="V187" s="268"/>
      <c r="W187" s="268"/>
      <c r="X187" s="276"/>
      <c r="Y187" s="268"/>
      <c r="Z187" s="268"/>
      <c r="AA187" s="268"/>
      <c r="AB187" s="268"/>
      <c r="AC187" s="268"/>
      <c r="AD187" s="276"/>
      <c r="AE187" s="268"/>
      <c r="AF187" s="268"/>
      <c r="AG187" s="268"/>
      <c r="AH187" s="268"/>
      <c r="AI187" s="268"/>
      <c r="AJ187" s="309">
        <v>-9.5425000000000004</v>
      </c>
      <c r="AK187" s="293">
        <v>8.0435499999999998</v>
      </c>
      <c r="AL187" s="268"/>
      <c r="AM187" s="268"/>
      <c r="AN187" s="268"/>
      <c r="AO187" s="275"/>
      <c r="AP187" s="268"/>
      <c r="AQ187" s="268"/>
      <c r="AR187" s="268"/>
      <c r="AS187" s="268"/>
      <c r="AT187" s="268"/>
      <c r="AU187" s="275"/>
      <c r="AV187" s="268"/>
      <c r="AW187" s="268"/>
      <c r="AX187" s="268"/>
      <c r="AY187" s="268"/>
      <c r="AZ187" s="268"/>
      <c r="BA187" s="268"/>
      <c r="BB187" s="268"/>
      <c r="BC187" s="268"/>
      <c r="BD187" s="268"/>
      <c r="BE187" s="268"/>
      <c r="BF187" s="268"/>
      <c r="BG187" s="268"/>
      <c r="BH187" s="268"/>
      <c r="BI187" s="268"/>
      <c r="BJ187" s="268"/>
      <c r="BK187" s="268"/>
      <c r="BL187" s="268"/>
      <c r="BM187" s="268"/>
      <c r="BN187" s="268"/>
      <c r="BO187" s="268"/>
      <c r="BP187" s="268"/>
      <c r="BQ187" s="268"/>
      <c r="BR187" s="268"/>
      <c r="BS187" s="268"/>
      <c r="BT187" s="268"/>
      <c r="BU187" s="268"/>
      <c r="BV187" s="268"/>
      <c r="BW187" s="268"/>
      <c r="BX187" s="268"/>
      <c r="BY187" s="268"/>
      <c r="BZ187" s="268"/>
      <c r="CA187" s="268"/>
      <c r="CB187" s="268"/>
      <c r="CC187" s="268"/>
      <c r="CD187" s="268"/>
      <c r="CE187" s="268"/>
      <c r="CF187" s="268"/>
      <c r="CG187" s="268"/>
      <c r="CH187" s="268"/>
      <c r="CI187" s="268"/>
      <c r="CJ187" s="268"/>
      <c r="CK187" s="268"/>
      <c r="CL187" s="268"/>
      <c r="CM187" s="268"/>
      <c r="CN187" s="268"/>
      <c r="CO187" s="268"/>
      <c r="CP187" s="268"/>
      <c r="CQ187" s="268"/>
      <c r="CR187" s="268"/>
      <c r="CS187" s="268"/>
      <c r="CT187" s="268"/>
      <c r="CU187" s="268"/>
      <c r="CV187" s="268"/>
      <c r="CW187" s="268"/>
      <c r="CX187" s="268"/>
      <c r="CY187" s="268"/>
      <c r="CZ187" s="268"/>
      <c r="DA187" s="268"/>
      <c r="DB187" s="268"/>
      <c r="DC187" s="268"/>
      <c r="DD187" s="268"/>
      <c r="DE187" s="268"/>
      <c r="DF187" s="268"/>
      <c r="DG187" s="268"/>
      <c r="DH187" s="268"/>
      <c r="DI187" s="268"/>
      <c r="DJ187" s="268"/>
      <c r="DK187" s="268"/>
      <c r="DL187" s="268"/>
      <c r="DM187" s="268"/>
      <c r="DN187" s="268"/>
      <c r="DO187" s="268"/>
      <c r="DP187" s="268"/>
      <c r="DQ187" s="268"/>
      <c r="DR187" s="268"/>
      <c r="DS187" s="268"/>
      <c r="DT187" s="268"/>
      <c r="DU187" s="268"/>
      <c r="DV187" s="268"/>
      <c r="DW187" s="268"/>
      <c r="DX187" s="268"/>
      <c r="DY187" s="268"/>
      <c r="DZ187" s="268"/>
      <c r="EA187" s="268"/>
      <c r="EB187" s="268"/>
      <c r="EC187" s="268"/>
      <c r="ED187" s="268"/>
      <c r="EE187" s="268"/>
      <c r="EF187" s="268"/>
      <c r="EG187" s="268"/>
    </row>
    <row r="188" spans="1:137" s="283" customFormat="1" ht="18" customHeight="1" x14ac:dyDescent="0.35">
      <c r="A188" s="274">
        <f>MATCH(B188,STUDIES!$A$3:$A$502,0)</f>
        <v>17</v>
      </c>
      <c r="B188" s="310" t="s">
        <v>784</v>
      </c>
      <c r="C188" s="460"/>
      <c r="D188" s="308" t="s">
        <v>1098</v>
      </c>
      <c r="E188" s="272" t="s">
        <v>151</v>
      </c>
      <c r="F188" s="155" t="str">
        <f>_xlfn.XLOOKUP(B188,STUDIES!$A$3:$A$1063,STUDIES!$G$3:$G$1063,"Not Found!")</f>
        <v>A</v>
      </c>
      <c r="G188" s="273" t="s">
        <v>147</v>
      </c>
      <c r="H188" s="273">
        <v>16</v>
      </c>
      <c r="I188" s="273">
        <v>42</v>
      </c>
      <c r="J188" s="274"/>
      <c r="K188" s="268">
        <v>31.4</v>
      </c>
      <c r="L188" s="268"/>
      <c r="M188" s="268">
        <v>12.3</v>
      </c>
      <c r="N188" s="268"/>
      <c r="O188" s="268"/>
      <c r="P188" s="268"/>
      <c r="Q188" s="282" t="s">
        <v>92</v>
      </c>
      <c r="S188" s="268"/>
      <c r="T188" s="268"/>
      <c r="U188" s="268"/>
      <c r="V188" s="268"/>
      <c r="W188" s="268"/>
      <c r="X188" s="276"/>
      <c r="Y188" s="268"/>
      <c r="Z188" s="268"/>
      <c r="AA188" s="268"/>
      <c r="AB188" s="268"/>
      <c r="AC188" s="268"/>
      <c r="AD188" s="276"/>
      <c r="AE188" s="268"/>
      <c r="AF188" s="268"/>
      <c r="AG188" s="268"/>
      <c r="AH188" s="268"/>
      <c r="AI188" s="268"/>
      <c r="AJ188" s="276">
        <v>-62</v>
      </c>
      <c r="AK188" s="268">
        <v>6.1</v>
      </c>
      <c r="AL188" s="268"/>
      <c r="AM188" s="268"/>
      <c r="AN188" s="268"/>
      <c r="AO188" s="282"/>
      <c r="AP188" s="268"/>
      <c r="AQ188" s="268"/>
      <c r="AR188" s="268"/>
      <c r="AS188" s="268"/>
      <c r="AT188" s="268"/>
      <c r="AU188" s="275"/>
      <c r="AV188" s="268"/>
      <c r="AW188" s="268"/>
      <c r="AX188" s="268"/>
      <c r="AY188" s="268"/>
      <c r="AZ188" s="268"/>
      <c r="BA188" s="268"/>
      <c r="BB188" s="268"/>
      <c r="BC188" s="268"/>
      <c r="BD188" s="268"/>
      <c r="BE188" s="268"/>
      <c r="BF188" s="268"/>
      <c r="BG188" s="268"/>
      <c r="BH188" s="268"/>
      <c r="BI188" s="268"/>
      <c r="BJ188" s="268"/>
      <c r="BK188" s="268"/>
      <c r="BL188" s="268"/>
      <c r="BM188" s="268"/>
      <c r="BN188" s="268"/>
      <c r="BO188" s="268"/>
      <c r="BP188" s="268"/>
      <c r="BQ188" s="268"/>
      <c r="BR188" s="268"/>
      <c r="BS188" s="268"/>
      <c r="BT188" s="268"/>
      <c r="BU188" s="268"/>
      <c r="BV188" s="268"/>
      <c r="BW188" s="268"/>
      <c r="BX188" s="268"/>
      <c r="BY188" s="268"/>
      <c r="BZ188" s="268"/>
      <c r="CA188" s="268"/>
      <c r="CB188" s="268"/>
      <c r="CC188" s="268"/>
      <c r="CD188" s="268"/>
      <c r="CE188" s="268"/>
      <c r="CF188" s="268"/>
      <c r="CG188" s="268"/>
      <c r="CH188" s="268"/>
      <c r="CI188" s="268"/>
      <c r="CJ188" s="268"/>
      <c r="CK188" s="268"/>
      <c r="CL188" s="268"/>
      <c r="CM188" s="268"/>
      <c r="CN188" s="268"/>
      <c r="CO188" s="268"/>
      <c r="CP188" s="268"/>
      <c r="CQ188" s="268"/>
      <c r="CR188" s="268"/>
      <c r="CS188" s="268"/>
      <c r="CT188" s="268"/>
      <c r="CU188" s="268"/>
      <c r="CV188" s="268"/>
      <c r="CW188" s="268"/>
      <c r="CX188" s="268"/>
      <c r="CY188" s="268"/>
      <c r="CZ188" s="268"/>
      <c r="DA188" s="268"/>
      <c r="DB188" s="268"/>
      <c r="DC188" s="268"/>
      <c r="DD188" s="268"/>
      <c r="DE188" s="268"/>
      <c r="DF188" s="268"/>
      <c r="DG188" s="268"/>
      <c r="DH188" s="268"/>
      <c r="DI188" s="268"/>
      <c r="DJ188" s="268"/>
      <c r="DK188" s="268"/>
      <c r="DL188" s="268"/>
      <c r="DM188" s="268"/>
      <c r="DN188" s="268"/>
      <c r="DO188" s="268"/>
      <c r="DP188" s="268"/>
      <c r="DQ188" s="268"/>
      <c r="DR188" s="268"/>
      <c r="DS188" s="268"/>
      <c r="DT188" s="268"/>
      <c r="DU188" s="268"/>
      <c r="DV188" s="268"/>
      <c r="DW188" s="268"/>
      <c r="DX188" s="268"/>
      <c r="DY188" s="268"/>
      <c r="DZ188" s="268"/>
      <c r="EA188" s="268"/>
      <c r="EB188" s="268"/>
      <c r="EC188" s="268"/>
      <c r="ED188" s="268"/>
      <c r="EE188" s="268"/>
      <c r="EF188" s="268"/>
      <c r="EG188" s="268"/>
    </row>
    <row r="189" spans="1:137" s="283" customFormat="1" ht="18" customHeight="1" x14ac:dyDescent="0.35">
      <c r="A189" s="274">
        <f>MATCH(B189,STUDIES!$A$3:$A$502,0)</f>
        <v>17</v>
      </c>
      <c r="B189" s="270" t="s">
        <v>784</v>
      </c>
      <c r="C189" s="459"/>
      <c r="D189" s="269" t="s">
        <v>1098</v>
      </c>
      <c r="E189" s="256" t="s">
        <v>153</v>
      </c>
      <c r="F189" s="155" t="str">
        <f>_xlfn.XLOOKUP(B189,STUDIES!$A$3:$A$1063,STUDIES!$G$3:$G$1063,"Not Found!")</f>
        <v>A</v>
      </c>
      <c r="G189" s="257" t="s">
        <v>147</v>
      </c>
      <c r="H189" s="257">
        <v>16</v>
      </c>
      <c r="I189" s="257">
        <v>40</v>
      </c>
      <c r="J189" s="258"/>
      <c r="K189" s="259"/>
      <c r="L189" s="259"/>
      <c r="M189" s="259"/>
      <c r="N189" s="259"/>
      <c r="O189" s="259"/>
      <c r="P189" s="259"/>
      <c r="Q189" s="279" t="s">
        <v>90</v>
      </c>
      <c r="R189" s="289">
        <v>-8.6</v>
      </c>
      <c r="S189" s="259">
        <v>1.4</v>
      </c>
      <c r="T189" s="259"/>
      <c r="U189" s="259"/>
      <c r="V189" s="259"/>
      <c r="W189" s="259"/>
      <c r="X189" s="264"/>
      <c r="Y189" s="259"/>
      <c r="Z189" s="259"/>
      <c r="AA189" s="259"/>
      <c r="AB189" s="259"/>
      <c r="AC189" s="259"/>
      <c r="AD189" s="264"/>
      <c r="AE189" s="259"/>
      <c r="AF189" s="259"/>
      <c r="AG189" s="259"/>
      <c r="AH189" s="259"/>
      <c r="AI189" s="259"/>
      <c r="AJ189" s="265"/>
      <c r="AK189" s="266"/>
      <c r="AL189" s="266"/>
      <c r="AM189" s="266"/>
      <c r="AN189" s="266"/>
      <c r="AO189" s="302"/>
      <c r="AP189" s="266"/>
      <c r="AQ189" s="266"/>
      <c r="AR189" s="266"/>
      <c r="AS189" s="266"/>
      <c r="AT189" s="266"/>
      <c r="AU189" s="267"/>
      <c r="AV189" s="268"/>
      <c r="AW189" s="268"/>
      <c r="AX189" s="268"/>
      <c r="AY189" s="268"/>
      <c r="AZ189" s="268"/>
      <c r="BA189" s="268"/>
      <c r="BB189" s="268"/>
      <c r="BC189" s="268"/>
      <c r="BD189" s="268"/>
      <c r="BE189" s="268"/>
      <c r="BF189" s="268"/>
      <c r="BG189" s="268"/>
      <c r="BH189" s="268"/>
      <c r="BI189" s="268"/>
      <c r="BJ189" s="268"/>
      <c r="BK189" s="268"/>
      <c r="BL189" s="268"/>
      <c r="BM189" s="268"/>
      <c r="BN189" s="268"/>
      <c r="BO189" s="268"/>
      <c r="BP189" s="268"/>
      <c r="BQ189" s="268"/>
      <c r="BR189" s="268"/>
      <c r="BS189" s="268"/>
      <c r="BT189" s="268"/>
      <c r="BU189" s="268"/>
      <c r="BV189" s="268"/>
      <c r="BW189" s="268"/>
      <c r="BX189" s="268"/>
      <c r="BY189" s="268"/>
      <c r="BZ189" s="268"/>
      <c r="CA189" s="268"/>
      <c r="CB189" s="268"/>
      <c r="CC189" s="268"/>
      <c r="CD189" s="268"/>
      <c r="CE189" s="268"/>
      <c r="CF189" s="268"/>
      <c r="CG189" s="268"/>
      <c r="CH189" s="268"/>
      <c r="CI189" s="268"/>
      <c r="CJ189" s="268"/>
      <c r="CK189" s="268"/>
      <c r="CL189" s="268"/>
      <c r="CM189" s="268"/>
      <c r="CN189" s="268"/>
      <c r="CO189" s="268"/>
      <c r="CP189" s="268"/>
      <c r="CQ189" s="268"/>
      <c r="CR189" s="268"/>
      <c r="CS189" s="268"/>
      <c r="CT189" s="268"/>
      <c r="CU189" s="268"/>
      <c r="CV189" s="268"/>
      <c r="CW189" s="268"/>
      <c r="CX189" s="268"/>
      <c r="CY189" s="268"/>
      <c r="CZ189" s="268"/>
      <c r="DA189" s="268"/>
      <c r="DB189" s="268"/>
      <c r="DC189" s="268"/>
      <c r="DD189" s="268"/>
      <c r="DE189" s="268"/>
      <c r="DF189" s="268"/>
      <c r="DG189" s="268"/>
      <c r="DH189" s="268"/>
      <c r="DI189" s="268"/>
      <c r="DJ189" s="268"/>
      <c r="DK189" s="268"/>
      <c r="DL189" s="268"/>
      <c r="DM189" s="268"/>
      <c r="DN189" s="268"/>
      <c r="DO189" s="268"/>
      <c r="DP189" s="268"/>
      <c r="DQ189" s="268"/>
      <c r="DR189" s="268"/>
      <c r="DS189" s="268"/>
      <c r="DT189" s="268"/>
      <c r="DU189" s="268"/>
      <c r="DV189" s="268"/>
      <c r="DW189" s="268"/>
      <c r="DX189" s="268"/>
      <c r="DY189" s="268"/>
      <c r="DZ189" s="268"/>
      <c r="EA189" s="268"/>
      <c r="EB189" s="268"/>
      <c r="EC189" s="268"/>
      <c r="ED189" s="268"/>
      <c r="EE189" s="268"/>
      <c r="EF189" s="268"/>
      <c r="EG189" s="268"/>
    </row>
    <row r="190" spans="1:137" s="283" customFormat="1" ht="18" customHeight="1" x14ac:dyDescent="0.35">
      <c r="A190" s="274">
        <f>MATCH(B190,STUDIES!$A$3:$A$502,0)</f>
        <v>17</v>
      </c>
      <c r="B190" s="310" t="s">
        <v>784</v>
      </c>
      <c r="C190" s="460"/>
      <c r="D190" s="308" t="s">
        <v>1098</v>
      </c>
      <c r="E190" s="272" t="s">
        <v>348</v>
      </c>
      <c r="F190" s="155" t="str">
        <f>_xlfn.XLOOKUP(B190,STUDIES!$A$3:$A$1063,STUDIES!$G$3:$G$1063,"Not Found!")</f>
        <v>A</v>
      </c>
      <c r="G190" s="273" t="s">
        <v>147</v>
      </c>
      <c r="H190" s="273">
        <v>16</v>
      </c>
      <c r="I190" s="273">
        <v>42</v>
      </c>
      <c r="J190" s="274"/>
      <c r="K190" s="268">
        <v>6.4</v>
      </c>
      <c r="L190" s="268"/>
      <c r="M190" s="268">
        <v>1.7</v>
      </c>
      <c r="N190" s="268"/>
      <c r="O190" s="268"/>
      <c r="P190" s="268"/>
      <c r="Q190" s="282" t="s">
        <v>15</v>
      </c>
      <c r="S190" s="268"/>
      <c r="T190" s="268"/>
      <c r="U190" s="268"/>
      <c r="V190" s="268"/>
      <c r="W190" s="268"/>
      <c r="X190" s="276"/>
      <c r="Y190" s="268"/>
      <c r="Z190" s="268"/>
      <c r="AA190" s="268"/>
      <c r="AB190" s="268"/>
      <c r="AC190" s="268"/>
      <c r="AD190" s="276"/>
      <c r="AE190" s="268"/>
      <c r="AF190" s="268"/>
      <c r="AG190" s="268"/>
      <c r="AH190" s="268"/>
      <c r="AI190" s="268"/>
      <c r="AJ190" s="309">
        <v>-48.121499999999997</v>
      </c>
      <c r="AK190" s="293">
        <v>7.6935000000000002</v>
      </c>
      <c r="AL190" s="268"/>
      <c r="AM190" s="268"/>
      <c r="AN190" s="268"/>
      <c r="AO190" s="282"/>
      <c r="AP190" s="268"/>
      <c r="AQ190" s="268"/>
      <c r="AR190" s="268"/>
      <c r="AS190" s="268"/>
      <c r="AT190" s="268"/>
      <c r="AU190" s="275"/>
      <c r="AV190" s="268"/>
      <c r="AW190" s="268"/>
      <c r="AX190" s="268"/>
      <c r="AY190" s="268"/>
      <c r="AZ190" s="268"/>
      <c r="BA190" s="268"/>
      <c r="BB190" s="268"/>
      <c r="BC190" s="268"/>
      <c r="BD190" s="268"/>
      <c r="BE190" s="268"/>
      <c r="BF190" s="268"/>
      <c r="BG190" s="268"/>
      <c r="BH190" s="268"/>
      <c r="BI190" s="268"/>
      <c r="BJ190" s="268"/>
      <c r="BK190" s="268"/>
      <c r="BL190" s="268"/>
      <c r="BM190" s="268"/>
      <c r="BN190" s="268"/>
      <c r="BO190" s="268"/>
      <c r="BP190" s="268"/>
      <c r="BQ190" s="268"/>
      <c r="BR190" s="268"/>
      <c r="BS190" s="268"/>
      <c r="BT190" s="268"/>
      <c r="BU190" s="268"/>
      <c r="BV190" s="268"/>
      <c r="BW190" s="268"/>
      <c r="BX190" s="268"/>
      <c r="BY190" s="268"/>
      <c r="BZ190" s="268"/>
      <c r="CA190" s="268"/>
      <c r="CB190" s="268"/>
      <c r="CC190" s="268"/>
      <c r="CD190" s="268"/>
      <c r="CE190" s="268"/>
      <c r="CF190" s="268"/>
      <c r="CG190" s="268"/>
      <c r="CH190" s="268"/>
      <c r="CI190" s="268"/>
      <c r="CJ190" s="268"/>
      <c r="CK190" s="268"/>
      <c r="CL190" s="268"/>
      <c r="CM190" s="268"/>
      <c r="CN190" s="268"/>
      <c r="CO190" s="268"/>
      <c r="CP190" s="268"/>
      <c r="CQ190" s="268"/>
      <c r="CR190" s="268"/>
      <c r="CS190" s="268"/>
      <c r="CT190" s="268"/>
      <c r="CU190" s="268"/>
      <c r="CV190" s="268"/>
      <c r="CW190" s="268"/>
      <c r="CX190" s="268"/>
      <c r="CY190" s="268"/>
      <c r="CZ190" s="268"/>
      <c r="DA190" s="268"/>
      <c r="DB190" s="268"/>
      <c r="DC190" s="268"/>
      <c r="DD190" s="268"/>
      <c r="DE190" s="268"/>
      <c r="DF190" s="268"/>
      <c r="DG190" s="268"/>
      <c r="DH190" s="268"/>
      <c r="DI190" s="268"/>
      <c r="DJ190" s="268"/>
      <c r="DK190" s="268"/>
      <c r="DL190" s="268"/>
      <c r="DM190" s="268"/>
      <c r="DN190" s="268"/>
      <c r="DO190" s="268"/>
      <c r="DP190" s="268"/>
      <c r="DQ190" s="268"/>
      <c r="DR190" s="268"/>
      <c r="DS190" s="268"/>
      <c r="DT190" s="268"/>
      <c r="DU190" s="268"/>
      <c r="DV190" s="268"/>
      <c r="DW190" s="268"/>
      <c r="DX190" s="268"/>
      <c r="DY190" s="268"/>
      <c r="DZ190" s="268"/>
      <c r="EA190" s="268"/>
      <c r="EB190" s="268"/>
      <c r="EC190" s="268"/>
      <c r="ED190" s="268"/>
      <c r="EE190" s="268"/>
      <c r="EF190" s="268"/>
      <c r="EG190" s="268"/>
    </row>
    <row r="191" spans="1:137" s="283" customFormat="1" ht="18" customHeight="1" x14ac:dyDescent="0.35">
      <c r="A191" s="274">
        <f>MATCH(B191,STUDIES!$A$3:$A$502,0)</f>
        <v>17</v>
      </c>
      <c r="B191" s="272" t="s">
        <v>784</v>
      </c>
      <c r="C191" s="435"/>
      <c r="D191" s="281" t="s">
        <v>1098</v>
      </c>
      <c r="E191" s="272" t="s">
        <v>1163</v>
      </c>
      <c r="F191" s="155" t="str">
        <f>_xlfn.XLOOKUP(B191,STUDIES!$A$3:$A$1063,STUDIES!$G$3:$G$1063,"Not Found!")</f>
        <v>A</v>
      </c>
      <c r="G191" s="273" t="s">
        <v>147</v>
      </c>
      <c r="H191" s="273">
        <v>16</v>
      </c>
      <c r="I191" s="273">
        <v>42</v>
      </c>
      <c r="J191" s="274">
        <v>1</v>
      </c>
      <c r="K191" s="268"/>
      <c r="L191" s="268"/>
      <c r="M191" s="268"/>
      <c r="N191" s="268"/>
      <c r="O191" s="268"/>
      <c r="P191" s="268"/>
      <c r="Q191" s="282"/>
      <c r="S191" s="268"/>
      <c r="T191" s="268"/>
      <c r="U191" s="268"/>
      <c r="V191" s="268"/>
      <c r="W191" s="268"/>
      <c r="X191" s="276"/>
      <c r="Y191" s="268"/>
      <c r="Z191" s="268"/>
      <c r="AA191" s="268"/>
      <c r="AB191" s="268"/>
      <c r="AC191" s="268"/>
      <c r="AD191" s="276"/>
      <c r="AE191" s="268"/>
      <c r="AF191" s="268"/>
      <c r="AG191" s="268"/>
      <c r="AH191" s="268"/>
      <c r="AI191" s="268"/>
      <c r="AJ191" s="276"/>
      <c r="AK191" s="268"/>
      <c r="AL191" s="268"/>
      <c r="AM191" s="268"/>
      <c r="AN191" s="268"/>
      <c r="AO191" s="282"/>
      <c r="AP191" s="268"/>
      <c r="AQ191" s="268"/>
      <c r="AR191" s="268"/>
      <c r="AS191" s="268"/>
      <c r="AT191" s="268"/>
      <c r="AU191" s="275"/>
      <c r="AV191" s="268"/>
      <c r="AW191" s="268"/>
      <c r="AX191" s="268"/>
      <c r="AY191" s="268"/>
      <c r="AZ191" s="268"/>
      <c r="BA191" s="268"/>
      <c r="BB191" s="268"/>
      <c r="BC191" s="268"/>
      <c r="BD191" s="268"/>
      <c r="BE191" s="268"/>
      <c r="BF191" s="268"/>
      <c r="BG191" s="268"/>
      <c r="BH191" s="268"/>
      <c r="BI191" s="268"/>
      <c r="BJ191" s="268"/>
      <c r="BK191" s="268"/>
      <c r="BL191" s="268"/>
      <c r="BM191" s="268"/>
      <c r="BN191" s="268"/>
      <c r="BO191" s="268"/>
      <c r="BP191" s="268"/>
      <c r="BQ191" s="268"/>
      <c r="BR191" s="268"/>
      <c r="BS191" s="268"/>
      <c r="BT191" s="268"/>
      <c r="BU191" s="268"/>
      <c r="BV191" s="268"/>
      <c r="BW191" s="268"/>
      <c r="BX191" s="268"/>
      <c r="BY191" s="268"/>
      <c r="BZ191" s="268"/>
      <c r="CA191" s="268"/>
      <c r="CB191" s="268"/>
      <c r="CC191" s="268"/>
      <c r="CD191" s="268"/>
      <c r="CE191" s="268"/>
      <c r="CF191" s="268"/>
      <c r="CG191" s="268"/>
      <c r="CH191" s="268"/>
      <c r="CI191" s="268"/>
      <c r="CJ191" s="268"/>
      <c r="CK191" s="268"/>
      <c r="CL191" s="268"/>
      <c r="CM191" s="268"/>
      <c r="CN191" s="268"/>
      <c r="CO191" s="268"/>
      <c r="CP191" s="268"/>
      <c r="CQ191" s="268"/>
      <c r="CR191" s="268"/>
      <c r="CS191" s="268"/>
      <c r="CT191" s="268"/>
      <c r="CU191" s="268"/>
      <c r="CV191" s="268"/>
      <c r="CW191" s="268"/>
      <c r="CX191" s="268"/>
      <c r="CY191" s="268"/>
      <c r="CZ191" s="268"/>
      <c r="DA191" s="268"/>
      <c r="DB191" s="268"/>
      <c r="DC191" s="268"/>
      <c r="DD191" s="268"/>
      <c r="DE191" s="268"/>
      <c r="DF191" s="268"/>
      <c r="DG191" s="268"/>
      <c r="DH191" s="268"/>
      <c r="DI191" s="268"/>
      <c r="DJ191" s="268"/>
      <c r="DK191" s="268"/>
      <c r="DL191" s="268"/>
      <c r="DM191" s="268"/>
      <c r="DN191" s="268"/>
      <c r="DO191" s="268"/>
      <c r="DP191" s="268"/>
      <c r="DQ191" s="268"/>
      <c r="DR191" s="268"/>
      <c r="DS191" s="268"/>
      <c r="DT191" s="268"/>
      <c r="DU191" s="268"/>
      <c r="DV191" s="268"/>
      <c r="DW191" s="268"/>
      <c r="DX191" s="268"/>
      <c r="DY191" s="268"/>
      <c r="DZ191" s="268"/>
      <c r="EA191" s="268"/>
      <c r="EB191" s="268"/>
      <c r="EC191" s="268"/>
      <c r="ED191" s="268"/>
      <c r="EE191" s="268"/>
      <c r="EF191" s="268"/>
      <c r="EG191" s="268"/>
    </row>
    <row r="192" spans="1:137" s="283" customFormat="1" ht="18" customHeight="1" x14ac:dyDescent="0.35">
      <c r="A192" s="274">
        <f>MATCH(B192,STUDIES!$A$3:$A$502,0)</f>
        <v>17</v>
      </c>
      <c r="B192" s="272" t="s">
        <v>784</v>
      </c>
      <c r="C192" s="435"/>
      <c r="D192" s="281" t="s">
        <v>1098</v>
      </c>
      <c r="E192" s="272" t="s">
        <v>1167</v>
      </c>
      <c r="F192" s="155" t="str">
        <f>_xlfn.XLOOKUP(B192,STUDIES!$A$3:$A$1063,STUDIES!$G$3:$G$1063,"Not Found!")</f>
        <v>A</v>
      </c>
      <c r="G192" s="273" t="s">
        <v>147</v>
      </c>
      <c r="H192" s="273">
        <v>16</v>
      </c>
      <c r="I192" s="273">
        <v>42</v>
      </c>
      <c r="J192" s="274">
        <v>2</v>
      </c>
      <c r="K192" s="268"/>
      <c r="L192" s="268"/>
      <c r="M192" s="268"/>
      <c r="N192" s="268"/>
      <c r="O192" s="268"/>
      <c r="P192" s="268"/>
      <c r="Q192" s="282"/>
      <c r="S192" s="268"/>
      <c r="T192" s="268"/>
      <c r="U192" s="268"/>
      <c r="V192" s="268"/>
      <c r="W192" s="268"/>
      <c r="X192" s="276"/>
      <c r="Y192" s="268"/>
      <c r="Z192" s="268"/>
      <c r="AA192" s="268"/>
      <c r="AB192" s="268"/>
      <c r="AC192" s="268"/>
      <c r="AD192" s="276"/>
      <c r="AE192" s="268"/>
      <c r="AF192" s="268"/>
      <c r="AG192" s="268"/>
      <c r="AH192" s="268"/>
      <c r="AI192" s="268"/>
      <c r="AJ192" s="276"/>
      <c r="AK192" s="268"/>
      <c r="AL192" s="268"/>
      <c r="AM192" s="268"/>
      <c r="AN192" s="268"/>
      <c r="AO192" s="282"/>
      <c r="AP192" s="268"/>
      <c r="AQ192" s="268"/>
      <c r="AR192" s="268"/>
      <c r="AS192" s="268"/>
      <c r="AT192" s="268"/>
      <c r="AU192" s="275"/>
      <c r="AV192" s="268"/>
      <c r="AW192" s="268"/>
      <c r="AX192" s="268"/>
      <c r="AY192" s="268"/>
      <c r="AZ192" s="268"/>
      <c r="BA192" s="268"/>
      <c r="BB192" s="268"/>
      <c r="BC192" s="268"/>
      <c r="BD192" s="268"/>
      <c r="BE192" s="268"/>
      <c r="BF192" s="268"/>
      <c r="BG192" s="268"/>
      <c r="BH192" s="268"/>
      <c r="BI192" s="268"/>
      <c r="BJ192" s="268"/>
      <c r="BK192" s="268"/>
      <c r="BL192" s="268"/>
      <c r="BM192" s="268"/>
      <c r="BN192" s="268"/>
      <c r="BO192" s="268"/>
      <c r="BP192" s="268"/>
      <c r="BQ192" s="268"/>
      <c r="BR192" s="268"/>
      <c r="BS192" s="268"/>
      <c r="BT192" s="268"/>
      <c r="BU192" s="268"/>
      <c r="BV192" s="268"/>
      <c r="BW192" s="268"/>
      <c r="BX192" s="268"/>
      <c r="BY192" s="268"/>
      <c r="BZ192" s="268"/>
      <c r="CA192" s="268"/>
      <c r="CB192" s="268"/>
      <c r="CC192" s="268"/>
      <c r="CD192" s="268"/>
      <c r="CE192" s="268"/>
      <c r="CF192" s="268"/>
      <c r="CG192" s="268"/>
      <c r="CH192" s="268"/>
      <c r="CI192" s="268"/>
      <c r="CJ192" s="268"/>
      <c r="CK192" s="268"/>
      <c r="CL192" s="268"/>
      <c r="CM192" s="268"/>
      <c r="CN192" s="268"/>
      <c r="CO192" s="268"/>
      <c r="CP192" s="268"/>
      <c r="CQ192" s="268"/>
      <c r="CR192" s="268"/>
      <c r="CS192" s="268"/>
      <c r="CT192" s="268"/>
      <c r="CU192" s="268"/>
      <c r="CV192" s="268"/>
      <c r="CW192" s="268"/>
      <c r="CX192" s="268"/>
      <c r="CY192" s="268"/>
      <c r="CZ192" s="268"/>
      <c r="DA192" s="268"/>
      <c r="DB192" s="268"/>
      <c r="DC192" s="268"/>
      <c r="DD192" s="268"/>
      <c r="DE192" s="268"/>
      <c r="DF192" s="268"/>
      <c r="DG192" s="268"/>
      <c r="DH192" s="268"/>
      <c r="DI192" s="268"/>
      <c r="DJ192" s="268"/>
      <c r="DK192" s="268"/>
      <c r="DL192" s="268"/>
      <c r="DM192" s="268"/>
      <c r="DN192" s="268"/>
      <c r="DO192" s="268"/>
      <c r="DP192" s="268"/>
      <c r="DQ192" s="268"/>
      <c r="DR192" s="268"/>
      <c r="DS192" s="268"/>
      <c r="DT192" s="268"/>
      <c r="DU192" s="268"/>
      <c r="DV192" s="268"/>
      <c r="DW192" s="268"/>
      <c r="DX192" s="268"/>
      <c r="DY192" s="268"/>
      <c r="DZ192" s="268"/>
      <c r="EA192" s="268"/>
      <c r="EB192" s="268"/>
      <c r="EC192" s="268"/>
      <c r="ED192" s="268"/>
      <c r="EE192" s="268"/>
      <c r="EF192" s="268"/>
      <c r="EG192" s="268"/>
    </row>
    <row r="193" spans="1:137" s="283" customFormat="1" ht="18" customHeight="1" x14ac:dyDescent="0.35">
      <c r="A193" s="274">
        <f>MATCH(B193,STUDIES!$A$3:$A$502,0)</f>
        <v>17</v>
      </c>
      <c r="B193" s="310" t="s">
        <v>784</v>
      </c>
      <c r="C193" s="460"/>
      <c r="D193" s="308" t="s">
        <v>1099</v>
      </c>
      <c r="E193" s="272" t="s">
        <v>151</v>
      </c>
      <c r="F193" s="155" t="str">
        <f>_xlfn.XLOOKUP(B193,STUDIES!$A$3:$A$1063,STUDIES!$G$3:$G$1063,"Not Found!")</f>
        <v>A</v>
      </c>
      <c r="G193" s="273" t="s">
        <v>147</v>
      </c>
      <c r="H193" s="273">
        <v>16</v>
      </c>
      <c r="I193" s="273">
        <v>42</v>
      </c>
      <c r="J193" s="274"/>
      <c r="K193" s="268">
        <v>28.2</v>
      </c>
      <c r="L193" s="268"/>
      <c r="M193" s="268">
        <v>11.6</v>
      </c>
      <c r="N193" s="268"/>
      <c r="O193" s="268"/>
      <c r="P193" s="268"/>
      <c r="Q193" s="282" t="s">
        <v>92</v>
      </c>
      <c r="S193" s="268"/>
      <c r="T193" s="268"/>
      <c r="U193" s="268"/>
      <c r="V193" s="268"/>
      <c r="W193" s="268"/>
      <c r="X193" s="276"/>
      <c r="Y193" s="268"/>
      <c r="Z193" s="268"/>
      <c r="AA193" s="268"/>
      <c r="AB193" s="268"/>
      <c r="AC193" s="268"/>
      <c r="AD193" s="276"/>
      <c r="AE193" s="268"/>
      <c r="AF193" s="268"/>
      <c r="AG193" s="268"/>
      <c r="AH193" s="268"/>
      <c r="AI193" s="268"/>
      <c r="AJ193" s="276">
        <v>-74</v>
      </c>
      <c r="AK193" s="268">
        <v>6.1</v>
      </c>
      <c r="AL193" s="268"/>
      <c r="AM193" s="268"/>
      <c r="AN193" s="268"/>
      <c r="AO193" s="282"/>
      <c r="AP193" s="268"/>
      <c r="AQ193" s="268"/>
      <c r="AR193" s="268"/>
      <c r="AS193" s="268"/>
      <c r="AT193" s="268"/>
      <c r="AU193" s="275"/>
      <c r="AV193" s="268"/>
      <c r="AW193" s="268"/>
      <c r="AX193" s="268"/>
      <c r="AY193" s="268"/>
      <c r="AZ193" s="268"/>
      <c r="BA193" s="268"/>
      <c r="BB193" s="268"/>
      <c r="BC193" s="268"/>
      <c r="BD193" s="268"/>
      <c r="BE193" s="268"/>
      <c r="BF193" s="268"/>
      <c r="BG193" s="268"/>
      <c r="BH193" s="268"/>
      <c r="BI193" s="268"/>
      <c r="BJ193" s="268"/>
      <c r="BK193" s="268"/>
      <c r="BL193" s="268"/>
      <c r="BM193" s="268"/>
      <c r="BN193" s="268"/>
      <c r="BO193" s="268"/>
      <c r="BP193" s="268"/>
      <c r="BQ193" s="268"/>
      <c r="BR193" s="268"/>
      <c r="BS193" s="268"/>
      <c r="BT193" s="268"/>
      <c r="BU193" s="268"/>
      <c r="BV193" s="268"/>
      <c r="BW193" s="268"/>
      <c r="BX193" s="268"/>
      <c r="BY193" s="268"/>
      <c r="BZ193" s="268"/>
      <c r="CA193" s="268"/>
      <c r="CB193" s="268"/>
      <c r="CC193" s="268"/>
      <c r="CD193" s="268"/>
      <c r="CE193" s="268"/>
      <c r="CF193" s="268"/>
      <c r="CG193" s="268"/>
      <c r="CH193" s="268"/>
      <c r="CI193" s="268"/>
      <c r="CJ193" s="268"/>
      <c r="CK193" s="268"/>
      <c r="CL193" s="268"/>
      <c r="CM193" s="268"/>
      <c r="CN193" s="268"/>
      <c r="CO193" s="268"/>
      <c r="CP193" s="268"/>
      <c r="CQ193" s="268"/>
      <c r="CR193" s="268"/>
      <c r="CS193" s="268"/>
      <c r="CT193" s="268"/>
      <c r="CU193" s="268"/>
      <c r="CV193" s="268"/>
      <c r="CW193" s="268"/>
      <c r="CX193" s="268"/>
      <c r="CY193" s="268"/>
      <c r="CZ193" s="268"/>
      <c r="DA193" s="268"/>
      <c r="DB193" s="268"/>
      <c r="DC193" s="268"/>
      <c r="DD193" s="268"/>
      <c r="DE193" s="268"/>
      <c r="DF193" s="268"/>
      <c r="DG193" s="268"/>
      <c r="DH193" s="268"/>
      <c r="DI193" s="268"/>
      <c r="DJ193" s="268"/>
      <c r="DK193" s="268"/>
      <c r="DL193" s="268"/>
      <c r="DM193" s="268"/>
      <c r="DN193" s="268"/>
      <c r="DO193" s="268"/>
      <c r="DP193" s="268"/>
      <c r="DQ193" s="268"/>
      <c r="DR193" s="268"/>
      <c r="DS193" s="268"/>
      <c r="DT193" s="268"/>
      <c r="DU193" s="268"/>
      <c r="DV193" s="268"/>
      <c r="DW193" s="268"/>
      <c r="DX193" s="268"/>
      <c r="DY193" s="268"/>
      <c r="DZ193" s="268"/>
      <c r="EA193" s="268"/>
      <c r="EB193" s="268"/>
      <c r="EC193" s="268"/>
      <c r="ED193" s="268"/>
      <c r="EE193" s="268"/>
      <c r="EF193" s="268"/>
      <c r="EG193" s="268"/>
    </row>
    <row r="194" spans="1:137" s="283" customFormat="1" ht="18" customHeight="1" x14ac:dyDescent="0.35">
      <c r="A194" s="274">
        <f>MATCH(B194,STUDIES!$A$3:$A$502,0)</f>
        <v>17</v>
      </c>
      <c r="B194" s="270" t="s">
        <v>784</v>
      </c>
      <c r="C194" s="459"/>
      <c r="D194" s="269" t="s">
        <v>1099</v>
      </c>
      <c r="E194" s="256" t="s">
        <v>153</v>
      </c>
      <c r="F194" s="155" t="str">
        <f>_xlfn.XLOOKUP(B194,STUDIES!$A$3:$A$1063,STUDIES!$G$3:$G$1063,"Not Found!")</f>
        <v>A</v>
      </c>
      <c r="G194" s="257" t="s">
        <v>147</v>
      </c>
      <c r="H194" s="257">
        <v>16</v>
      </c>
      <c r="I194" s="257">
        <v>42</v>
      </c>
      <c r="J194" s="258"/>
      <c r="K194" s="259"/>
      <c r="L194" s="259"/>
      <c r="M194" s="259"/>
      <c r="N194" s="259"/>
      <c r="O194" s="259"/>
      <c r="P194" s="259"/>
      <c r="Q194" s="279" t="s">
        <v>90</v>
      </c>
      <c r="R194" s="289">
        <v>-12.3</v>
      </c>
      <c r="S194" s="259">
        <v>1.4</v>
      </c>
      <c r="T194" s="259"/>
      <c r="U194" s="259"/>
      <c r="V194" s="259"/>
      <c r="W194" s="259"/>
      <c r="X194" s="264"/>
      <c r="Y194" s="259"/>
      <c r="Z194" s="259"/>
      <c r="AA194" s="259"/>
      <c r="AB194" s="259"/>
      <c r="AC194" s="259"/>
      <c r="AD194" s="264"/>
      <c r="AE194" s="259"/>
      <c r="AF194" s="259"/>
      <c r="AG194" s="259"/>
      <c r="AH194" s="259"/>
      <c r="AI194" s="259"/>
      <c r="AJ194" s="265"/>
      <c r="AK194" s="266"/>
      <c r="AL194" s="266"/>
      <c r="AM194" s="266"/>
      <c r="AN194" s="266"/>
      <c r="AO194" s="302"/>
      <c r="AP194" s="266"/>
      <c r="AQ194" s="266"/>
      <c r="AR194" s="266"/>
      <c r="AS194" s="266"/>
      <c r="AT194" s="266"/>
      <c r="AU194" s="267"/>
      <c r="AV194" s="268"/>
      <c r="AW194" s="268"/>
      <c r="AX194" s="268"/>
      <c r="AY194" s="268"/>
      <c r="AZ194" s="268"/>
      <c r="BA194" s="268"/>
      <c r="BB194" s="268"/>
      <c r="BC194" s="268"/>
      <c r="BD194" s="268"/>
      <c r="BE194" s="268"/>
      <c r="BF194" s="268"/>
      <c r="BG194" s="268"/>
      <c r="BH194" s="268"/>
      <c r="BI194" s="268"/>
      <c r="BJ194" s="268"/>
      <c r="BK194" s="268"/>
      <c r="BL194" s="268"/>
      <c r="BM194" s="268"/>
      <c r="BN194" s="268"/>
      <c r="BO194" s="268"/>
      <c r="BP194" s="268"/>
      <c r="BQ194" s="268"/>
      <c r="BR194" s="268"/>
      <c r="BS194" s="268"/>
      <c r="BT194" s="268"/>
      <c r="BU194" s="268"/>
      <c r="BV194" s="268"/>
      <c r="BW194" s="268"/>
      <c r="BX194" s="268"/>
      <c r="BY194" s="268"/>
      <c r="BZ194" s="268"/>
      <c r="CA194" s="268"/>
      <c r="CB194" s="268"/>
      <c r="CC194" s="268"/>
      <c r="CD194" s="268"/>
      <c r="CE194" s="268"/>
      <c r="CF194" s="268"/>
      <c r="CG194" s="268"/>
      <c r="CH194" s="268"/>
      <c r="CI194" s="268"/>
      <c r="CJ194" s="268"/>
      <c r="CK194" s="268"/>
      <c r="CL194" s="268"/>
      <c r="CM194" s="268"/>
      <c r="CN194" s="268"/>
      <c r="CO194" s="268"/>
      <c r="CP194" s="268"/>
      <c r="CQ194" s="268"/>
      <c r="CR194" s="268"/>
      <c r="CS194" s="268"/>
      <c r="CT194" s="268"/>
      <c r="CU194" s="268"/>
      <c r="CV194" s="268"/>
      <c r="CW194" s="268"/>
      <c r="CX194" s="268"/>
      <c r="CY194" s="268"/>
      <c r="CZ194" s="268"/>
      <c r="DA194" s="268"/>
      <c r="DB194" s="268"/>
      <c r="DC194" s="268"/>
      <c r="DD194" s="268"/>
      <c r="DE194" s="268"/>
      <c r="DF194" s="268"/>
      <c r="DG194" s="268"/>
      <c r="DH194" s="268"/>
      <c r="DI194" s="268"/>
      <c r="DJ194" s="268"/>
      <c r="DK194" s="268"/>
      <c r="DL194" s="268"/>
      <c r="DM194" s="268"/>
      <c r="DN194" s="268"/>
      <c r="DO194" s="268"/>
      <c r="DP194" s="268"/>
      <c r="DQ194" s="268"/>
      <c r="DR194" s="268"/>
      <c r="DS194" s="268"/>
      <c r="DT194" s="268"/>
      <c r="DU194" s="268"/>
      <c r="DV194" s="268"/>
      <c r="DW194" s="268"/>
      <c r="DX194" s="268"/>
      <c r="DY194" s="268"/>
      <c r="DZ194" s="268"/>
      <c r="EA194" s="268"/>
      <c r="EB194" s="268"/>
      <c r="EC194" s="268"/>
      <c r="ED194" s="268"/>
      <c r="EE194" s="268"/>
      <c r="EF194" s="268"/>
      <c r="EG194" s="268"/>
    </row>
    <row r="195" spans="1:137" s="283" customFormat="1" ht="18" customHeight="1" x14ac:dyDescent="0.35">
      <c r="A195" s="274">
        <f>MATCH(B195,STUDIES!$A$3:$A$502,0)</f>
        <v>17</v>
      </c>
      <c r="B195" s="310" t="s">
        <v>784</v>
      </c>
      <c r="C195" s="460"/>
      <c r="D195" s="308" t="s">
        <v>1099</v>
      </c>
      <c r="E195" s="272" t="s">
        <v>348</v>
      </c>
      <c r="F195" s="155" t="str">
        <f>_xlfn.XLOOKUP(B195,STUDIES!$A$3:$A$1063,STUDIES!$G$3:$G$1063,"Not Found!")</f>
        <v>A</v>
      </c>
      <c r="G195" s="273" t="s">
        <v>147</v>
      </c>
      <c r="H195" s="273">
        <v>16</v>
      </c>
      <c r="I195" s="273">
        <v>42</v>
      </c>
      <c r="J195" s="274"/>
      <c r="K195" s="268">
        <v>6.3</v>
      </c>
      <c r="L195" s="268"/>
      <c r="M195" s="268">
        <v>2.1</v>
      </c>
      <c r="N195" s="268"/>
      <c r="O195" s="268"/>
      <c r="P195" s="268"/>
      <c r="Q195" s="282" t="s">
        <v>15</v>
      </c>
      <c r="S195" s="268"/>
      <c r="T195" s="268"/>
      <c r="U195" s="268"/>
      <c r="V195" s="268"/>
      <c r="W195" s="268"/>
      <c r="X195" s="276"/>
      <c r="Y195" s="268"/>
      <c r="Z195" s="268"/>
      <c r="AA195" s="268"/>
      <c r="AB195" s="268"/>
      <c r="AC195" s="268"/>
      <c r="AD195" s="276"/>
      <c r="AE195" s="268"/>
      <c r="AF195" s="268"/>
      <c r="AG195" s="268"/>
      <c r="AH195" s="268"/>
      <c r="AI195" s="268"/>
      <c r="AJ195" s="309">
        <v>-68.954999999999998</v>
      </c>
      <c r="AK195" s="293">
        <v>7.5834999999999866</v>
      </c>
      <c r="AL195" s="268"/>
      <c r="AM195" s="268"/>
      <c r="AN195" s="268"/>
      <c r="AO195" s="282"/>
      <c r="AP195" s="268"/>
      <c r="AQ195" s="268"/>
      <c r="AR195" s="268"/>
      <c r="AS195" s="268"/>
      <c r="AT195" s="268"/>
      <c r="AU195" s="275"/>
      <c r="AV195" s="268"/>
      <c r="AW195" s="268"/>
      <c r="AX195" s="268"/>
      <c r="AY195" s="268"/>
      <c r="AZ195" s="268"/>
      <c r="BA195" s="268"/>
      <c r="BB195" s="268"/>
      <c r="BC195" s="268"/>
      <c r="BD195" s="268"/>
      <c r="BE195" s="268"/>
      <c r="BF195" s="268"/>
      <c r="BG195" s="268"/>
      <c r="BH195" s="268"/>
      <c r="BI195" s="268"/>
      <c r="BJ195" s="268"/>
      <c r="BK195" s="268"/>
      <c r="BL195" s="268"/>
      <c r="BM195" s="268"/>
      <c r="BN195" s="268"/>
      <c r="BO195" s="268"/>
      <c r="BP195" s="268"/>
      <c r="BQ195" s="268"/>
      <c r="BR195" s="268"/>
      <c r="BS195" s="268"/>
      <c r="BT195" s="268"/>
      <c r="BU195" s="268"/>
      <c r="BV195" s="268"/>
      <c r="BW195" s="268"/>
      <c r="BX195" s="268"/>
      <c r="BY195" s="268"/>
      <c r="BZ195" s="268"/>
      <c r="CA195" s="268"/>
      <c r="CB195" s="268"/>
      <c r="CC195" s="268"/>
      <c r="CD195" s="268"/>
      <c r="CE195" s="268"/>
      <c r="CF195" s="268"/>
      <c r="CG195" s="268"/>
      <c r="CH195" s="268"/>
      <c r="CI195" s="268"/>
      <c r="CJ195" s="268"/>
      <c r="CK195" s="268"/>
      <c r="CL195" s="268"/>
      <c r="CM195" s="268"/>
      <c r="CN195" s="268"/>
      <c r="CO195" s="268"/>
      <c r="CP195" s="268"/>
      <c r="CQ195" s="268"/>
      <c r="CR195" s="268"/>
      <c r="CS195" s="268"/>
      <c r="CT195" s="268"/>
      <c r="CU195" s="268"/>
      <c r="CV195" s="268"/>
      <c r="CW195" s="268"/>
      <c r="CX195" s="268"/>
      <c r="CY195" s="268"/>
      <c r="CZ195" s="268"/>
      <c r="DA195" s="268"/>
      <c r="DB195" s="268"/>
      <c r="DC195" s="268"/>
      <c r="DD195" s="268"/>
      <c r="DE195" s="268"/>
      <c r="DF195" s="268"/>
      <c r="DG195" s="268"/>
      <c r="DH195" s="268"/>
      <c r="DI195" s="268"/>
      <c r="DJ195" s="268"/>
      <c r="DK195" s="268"/>
      <c r="DL195" s="268"/>
      <c r="DM195" s="268"/>
      <c r="DN195" s="268"/>
      <c r="DO195" s="268"/>
      <c r="DP195" s="268"/>
      <c r="DQ195" s="268"/>
      <c r="DR195" s="268"/>
      <c r="DS195" s="268"/>
      <c r="DT195" s="268"/>
      <c r="DU195" s="268"/>
      <c r="DV195" s="268"/>
      <c r="DW195" s="268"/>
      <c r="DX195" s="268"/>
      <c r="DY195" s="268"/>
      <c r="DZ195" s="268"/>
      <c r="EA195" s="268"/>
      <c r="EB195" s="268"/>
      <c r="EC195" s="268"/>
      <c r="ED195" s="268"/>
      <c r="EE195" s="268"/>
      <c r="EF195" s="268"/>
      <c r="EG195" s="268"/>
    </row>
    <row r="196" spans="1:137" s="283" customFormat="1" ht="18" customHeight="1" x14ac:dyDescent="0.35">
      <c r="A196" s="274">
        <f>MATCH(B196,STUDIES!$A$3:$A$502,0)</f>
        <v>17</v>
      </c>
      <c r="B196" s="272" t="s">
        <v>784</v>
      </c>
      <c r="C196" s="435"/>
      <c r="D196" s="281" t="s">
        <v>1099</v>
      </c>
      <c r="E196" s="272" t="s">
        <v>1163</v>
      </c>
      <c r="F196" s="155" t="str">
        <f>_xlfn.XLOOKUP(B196,STUDIES!$A$3:$A$1063,STUDIES!$G$3:$G$1063,"Not Found!")</f>
        <v>A</v>
      </c>
      <c r="G196" s="273" t="s">
        <v>147</v>
      </c>
      <c r="H196" s="273">
        <v>16</v>
      </c>
      <c r="I196" s="273">
        <v>42</v>
      </c>
      <c r="J196" s="274">
        <v>0</v>
      </c>
      <c r="K196" s="268"/>
      <c r="L196" s="268"/>
      <c r="M196" s="268"/>
      <c r="N196" s="268"/>
      <c r="O196" s="268"/>
      <c r="P196" s="268"/>
      <c r="Q196" s="282"/>
      <c r="S196" s="268"/>
      <c r="T196" s="268"/>
      <c r="U196" s="268"/>
      <c r="V196" s="268"/>
      <c r="W196" s="268"/>
      <c r="X196" s="276"/>
      <c r="Y196" s="268"/>
      <c r="Z196" s="268"/>
      <c r="AA196" s="268"/>
      <c r="AB196" s="268"/>
      <c r="AC196" s="268"/>
      <c r="AD196" s="276"/>
      <c r="AE196" s="268"/>
      <c r="AF196" s="268"/>
      <c r="AG196" s="268"/>
      <c r="AH196" s="268"/>
      <c r="AI196" s="268"/>
      <c r="AJ196" s="276"/>
      <c r="AK196" s="268"/>
      <c r="AL196" s="268"/>
      <c r="AM196" s="268"/>
      <c r="AN196" s="268"/>
      <c r="AO196" s="282"/>
      <c r="AP196" s="268"/>
      <c r="AQ196" s="268"/>
      <c r="AR196" s="268"/>
      <c r="AS196" s="268"/>
      <c r="AT196" s="268"/>
      <c r="AU196" s="275"/>
      <c r="AV196" s="268"/>
      <c r="AW196" s="268"/>
      <c r="AX196" s="268"/>
      <c r="AY196" s="268"/>
      <c r="AZ196" s="268"/>
      <c r="BA196" s="268"/>
      <c r="BB196" s="268"/>
      <c r="BC196" s="268"/>
      <c r="BD196" s="268"/>
      <c r="BE196" s="268"/>
      <c r="BF196" s="268"/>
      <c r="BG196" s="268"/>
      <c r="BH196" s="268"/>
      <c r="BI196" s="268"/>
      <c r="BJ196" s="268"/>
      <c r="BK196" s="268"/>
      <c r="BL196" s="268"/>
      <c r="BM196" s="268"/>
      <c r="BN196" s="268"/>
      <c r="BO196" s="268"/>
      <c r="BP196" s="268"/>
      <c r="BQ196" s="268"/>
      <c r="BR196" s="268"/>
      <c r="BS196" s="268"/>
      <c r="BT196" s="268"/>
      <c r="BU196" s="268"/>
      <c r="BV196" s="268"/>
      <c r="BW196" s="268"/>
      <c r="BX196" s="268"/>
      <c r="BY196" s="268"/>
      <c r="BZ196" s="268"/>
      <c r="CA196" s="268"/>
      <c r="CB196" s="268"/>
      <c r="CC196" s="268"/>
      <c r="CD196" s="268"/>
      <c r="CE196" s="268"/>
      <c r="CF196" s="268"/>
      <c r="CG196" s="268"/>
      <c r="CH196" s="268"/>
      <c r="CI196" s="268"/>
      <c r="CJ196" s="268"/>
      <c r="CK196" s="268"/>
      <c r="CL196" s="268"/>
      <c r="CM196" s="268"/>
      <c r="CN196" s="268"/>
      <c r="CO196" s="268"/>
      <c r="CP196" s="268"/>
      <c r="CQ196" s="268"/>
      <c r="CR196" s="268"/>
      <c r="CS196" s="268"/>
      <c r="CT196" s="268"/>
      <c r="CU196" s="268"/>
      <c r="CV196" s="268"/>
      <c r="CW196" s="268"/>
      <c r="CX196" s="268"/>
      <c r="CY196" s="268"/>
      <c r="CZ196" s="268"/>
      <c r="DA196" s="268"/>
      <c r="DB196" s="268"/>
      <c r="DC196" s="268"/>
      <c r="DD196" s="268"/>
      <c r="DE196" s="268"/>
      <c r="DF196" s="268"/>
      <c r="DG196" s="268"/>
      <c r="DH196" s="268"/>
      <c r="DI196" s="268"/>
      <c r="DJ196" s="268"/>
      <c r="DK196" s="268"/>
      <c r="DL196" s="268"/>
      <c r="DM196" s="268"/>
      <c r="DN196" s="268"/>
      <c r="DO196" s="268"/>
      <c r="DP196" s="268"/>
      <c r="DQ196" s="268"/>
      <c r="DR196" s="268"/>
      <c r="DS196" s="268"/>
      <c r="DT196" s="268"/>
      <c r="DU196" s="268"/>
      <c r="DV196" s="268"/>
      <c r="DW196" s="268"/>
      <c r="DX196" s="268"/>
      <c r="DY196" s="268"/>
      <c r="DZ196" s="268"/>
      <c r="EA196" s="268"/>
      <c r="EB196" s="268"/>
      <c r="EC196" s="268"/>
      <c r="ED196" s="268"/>
      <c r="EE196" s="268"/>
      <c r="EF196" s="268"/>
      <c r="EG196" s="268"/>
    </row>
    <row r="197" spans="1:137" s="283" customFormat="1" ht="18" customHeight="1" x14ac:dyDescent="0.35">
      <c r="A197" s="274">
        <f>MATCH(B197,STUDIES!$A$3:$A$502,0)</f>
        <v>17</v>
      </c>
      <c r="B197" s="272" t="s">
        <v>784</v>
      </c>
      <c r="C197" s="435"/>
      <c r="D197" s="281" t="s">
        <v>1099</v>
      </c>
      <c r="E197" s="272" t="s">
        <v>1167</v>
      </c>
      <c r="F197" s="155" t="str">
        <f>_xlfn.XLOOKUP(B197,STUDIES!$A$3:$A$1063,STUDIES!$G$3:$G$1063,"Not Found!")</f>
        <v>A</v>
      </c>
      <c r="G197" s="273" t="s">
        <v>147</v>
      </c>
      <c r="H197" s="273">
        <v>16</v>
      </c>
      <c r="I197" s="273">
        <v>42</v>
      </c>
      <c r="J197" s="274">
        <v>4</v>
      </c>
      <c r="K197" s="268"/>
      <c r="L197" s="268"/>
      <c r="M197" s="268"/>
      <c r="N197" s="268"/>
      <c r="O197" s="268"/>
      <c r="P197" s="268"/>
      <c r="Q197" s="282"/>
      <c r="S197" s="268"/>
      <c r="T197" s="268"/>
      <c r="U197" s="268"/>
      <c r="V197" s="268"/>
      <c r="W197" s="268"/>
      <c r="X197" s="276"/>
      <c r="Y197" s="268"/>
      <c r="Z197" s="268"/>
      <c r="AA197" s="268"/>
      <c r="AB197" s="268"/>
      <c r="AC197" s="268"/>
      <c r="AD197" s="276"/>
      <c r="AE197" s="268"/>
      <c r="AF197" s="268"/>
      <c r="AG197" s="268"/>
      <c r="AH197" s="268"/>
      <c r="AI197" s="268"/>
      <c r="AJ197" s="276"/>
      <c r="AK197" s="268"/>
      <c r="AL197" s="268"/>
      <c r="AM197" s="268"/>
      <c r="AN197" s="268"/>
      <c r="AO197" s="275"/>
      <c r="AP197" s="268"/>
      <c r="AQ197" s="268"/>
      <c r="AR197" s="268"/>
      <c r="AS197" s="268"/>
      <c r="AT197" s="268"/>
      <c r="AU197" s="275"/>
      <c r="AV197" s="268"/>
      <c r="AW197" s="268"/>
      <c r="AX197" s="268"/>
      <c r="AY197" s="268"/>
      <c r="AZ197" s="268"/>
      <c r="BA197" s="268"/>
      <c r="BB197" s="268"/>
      <c r="BC197" s="268"/>
      <c r="BD197" s="268"/>
      <c r="BE197" s="268"/>
      <c r="BF197" s="268"/>
      <c r="BG197" s="268"/>
      <c r="BH197" s="268"/>
      <c r="BI197" s="268"/>
      <c r="BJ197" s="268"/>
      <c r="BK197" s="268"/>
      <c r="BL197" s="268"/>
      <c r="BM197" s="268"/>
      <c r="BN197" s="268"/>
      <c r="BO197" s="268"/>
      <c r="BP197" s="268"/>
      <c r="BQ197" s="268"/>
      <c r="BR197" s="268"/>
      <c r="BS197" s="268"/>
      <c r="BT197" s="268"/>
      <c r="BU197" s="268"/>
      <c r="BV197" s="268"/>
      <c r="BW197" s="268"/>
      <c r="BX197" s="268"/>
      <c r="BY197" s="268"/>
      <c r="BZ197" s="268"/>
      <c r="CA197" s="268"/>
      <c r="CB197" s="268"/>
      <c r="CC197" s="268"/>
      <c r="CD197" s="268"/>
      <c r="CE197" s="268"/>
      <c r="CF197" s="268"/>
      <c r="CG197" s="268"/>
      <c r="CH197" s="268"/>
      <c r="CI197" s="268"/>
      <c r="CJ197" s="268"/>
      <c r="CK197" s="268"/>
      <c r="CL197" s="268"/>
      <c r="CM197" s="268"/>
      <c r="CN197" s="268"/>
      <c r="CO197" s="268"/>
      <c r="CP197" s="268"/>
      <c r="CQ197" s="268"/>
      <c r="CR197" s="268"/>
      <c r="CS197" s="268"/>
      <c r="CT197" s="268"/>
      <c r="CU197" s="268"/>
      <c r="CV197" s="268"/>
      <c r="CW197" s="268"/>
      <c r="CX197" s="268"/>
      <c r="CY197" s="268"/>
      <c r="CZ197" s="268"/>
      <c r="DA197" s="268"/>
      <c r="DB197" s="268"/>
      <c r="DC197" s="268"/>
      <c r="DD197" s="268"/>
      <c r="DE197" s="268"/>
      <c r="DF197" s="268"/>
      <c r="DG197" s="268"/>
      <c r="DH197" s="268"/>
      <c r="DI197" s="268"/>
      <c r="DJ197" s="268"/>
      <c r="DK197" s="268"/>
      <c r="DL197" s="268"/>
      <c r="DM197" s="268"/>
      <c r="DN197" s="268"/>
      <c r="DO197" s="268"/>
      <c r="DP197" s="268"/>
      <c r="DQ197" s="268"/>
      <c r="DR197" s="268"/>
      <c r="DS197" s="268"/>
      <c r="DT197" s="268"/>
      <c r="DU197" s="268"/>
      <c r="DV197" s="268"/>
      <c r="DW197" s="268"/>
      <c r="DX197" s="268"/>
      <c r="DY197" s="268"/>
      <c r="DZ197" s="268"/>
      <c r="EA197" s="268"/>
      <c r="EB197" s="268"/>
      <c r="EC197" s="268"/>
      <c r="ED197" s="268"/>
      <c r="EE197" s="268"/>
      <c r="EF197" s="268"/>
      <c r="EG197" s="268"/>
    </row>
    <row r="198" spans="1:137" ht="18" customHeight="1" x14ac:dyDescent="0.35">
      <c r="A198" s="274">
        <f>MATCH(B198,STUDIES!$A$3:$A$502,0)</f>
        <v>17</v>
      </c>
      <c r="B198" s="310" t="s">
        <v>784</v>
      </c>
      <c r="C198" s="460"/>
      <c r="D198" s="308" t="s">
        <v>1100</v>
      </c>
      <c r="E198" s="272" t="s">
        <v>151</v>
      </c>
      <c r="F198" s="155" t="str">
        <f>_xlfn.XLOOKUP(B198,STUDIES!$A$3:$A$1063,STUDIES!$G$3:$G$1063,"Not Found!")</f>
        <v>A</v>
      </c>
      <c r="G198" s="273" t="s">
        <v>147</v>
      </c>
      <c r="H198" s="273">
        <v>16</v>
      </c>
      <c r="I198" s="273">
        <v>42</v>
      </c>
      <c r="K198" s="268">
        <v>31.4</v>
      </c>
      <c r="M198" s="268">
        <v>15.8</v>
      </c>
      <c r="Q198" s="282" t="s">
        <v>92</v>
      </c>
      <c r="AJ198" s="276">
        <v>-39</v>
      </c>
      <c r="AK198" s="268">
        <v>6.2</v>
      </c>
    </row>
    <row r="199" spans="1:137" ht="18" customHeight="1" x14ac:dyDescent="0.35">
      <c r="A199" s="274">
        <f>MATCH(B199,STUDIES!$A$3:$A$502,0)</f>
        <v>17</v>
      </c>
      <c r="B199" s="270" t="s">
        <v>784</v>
      </c>
      <c r="C199" s="459"/>
      <c r="D199" s="269" t="s">
        <v>1100</v>
      </c>
      <c r="E199" s="256" t="s">
        <v>153</v>
      </c>
      <c r="F199" s="155" t="str">
        <f>_xlfn.XLOOKUP(B199,STUDIES!$A$3:$A$1063,STUDIES!$G$3:$G$1063,"Not Found!")</f>
        <v>A</v>
      </c>
      <c r="G199" s="257" t="s">
        <v>147</v>
      </c>
      <c r="H199" s="257">
        <v>16</v>
      </c>
      <c r="I199" s="257">
        <v>42</v>
      </c>
      <c r="J199" s="258"/>
      <c r="K199" s="259"/>
      <c r="L199" s="259"/>
      <c r="M199" s="259"/>
      <c r="N199" s="259"/>
      <c r="O199" s="259"/>
      <c r="P199" s="259"/>
      <c r="Q199" s="279" t="s">
        <v>90</v>
      </c>
      <c r="R199" s="289">
        <v>-5.5</v>
      </c>
      <c r="S199" s="259">
        <v>1.4</v>
      </c>
      <c r="T199" s="259"/>
      <c r="U199" s="259"/>
      <c r="V199" s="259"/>
      <c r="W199" s="259"/>
      <c r="X199" s="264"/>
      <c r="Y199" s="259"/>
      <c r="Z199" s="259"/>
      <c r="AA199" s="259"/>
      <c r="AB199" s="259"/>
      <c r="AC199" s="259"/>
      <c r="AD199" s="264"/>
      <c r="AE199" s="259"/>
      <c r="AF199" s="259"/>
      <c r="AG199" s="259"/>
      <c r="AH199" s="259"/>
      <c r="AI199" s="259"/>
      <c r="AJ199" s="265"/>
      <c r="AK199" s="266"/>
      <c r="AL199" s="266"/>
      <c r="AM199" s="266"/>
      <c r="AN199" s="266"/>
      <c r="AO199" s="267"/>
      <c r="AP199" s="266"/>
      <c r="AQ199" s="266"/>
      <c r="AR199" s="266"/>
      <c r="AS199" s="266"/>
      <c r="AT199" s="266"/>
      <c r="AU199" s="267"/>
    </row>
    <row r="200" spans="1:137" ht="18" customHeight="1" x14ac:dyDescent="0.35">
      <c r="A200" s="274">
        <f>MATCH(B200,STUDIES!$A$3:$A$502,0)</f>
        <v>17</v>
      </c>
      <c r="B200" s="310" t="s">
        <v>784</v>
      </c>
      <c r="C200" s="460"/>
      <c r="D200" s="308" t="s">
        <v>1100</v>
      </c>
      <c r="E200" s="272" t="s">
        <v>348</v>
      </c>
      <c r="F200" s="155" t="str">
        <f>_xlfn.XLOOKUP(B200,STUDIES!$A$3:$A$1063,STUDIES!$G$3:$G$1063,"Not Found!")</f>
        <v>A</v>
      </c>
      <c r="G200" s="273" t="s">
        <v>147</v>
      </c>
      <c r="H200" s="273">
        <v>16</v>
      </c>
      <c r="I200" s="273">
        <v>42</v>
      </c>
      <c r="K200" s="268">
        <v>6.8</v>
      </c>
      <c r="M200" s="268">
        <v>1.8</v>
      </c>
      <c r="Q200" s="282" t="s">
        <v>15</v>
      </c>
      <c r="AJ200" s="309">
        <v>-39.2485</v>
      </c>
      <c r="AK200" s="293">
        <v>7.8935000000000031</v>
      </c>
    </row>
    <row r="201" spans="1:137" ht="18" customHeight="1" x14ac:dyDescent="0.35">
      <c r="A201" s="274">
        <f>MATCH(B201,STUDIES!$A$3:$A$502,0)</f>
        <v>17</v>
      </c>
      <c r="B201" s="272" t="s">
        <v>784</v>
      </c>
      <c r="D201" s="281" t="s">
        <v>1100</v>
      </c>
      <c r="E201" s="272" t="s">
        <v>1163</v>
      </c>
      <c r="F201" s="155" t="str">
        <f>_xlfn.XLOOKUP(B201,STUDIES!$A$3:$A$1063,STUDIES!$G$3:$G$1063,"Not Found!")</f>
        <v>A</v>
      </c>
      <c r="G201" s="273" t="s">
        <v>147</v>
      </c>
      <c r="H201" s="273">
        <v>16</v>
      </c>
      <c r="I201" s="273">
        <v>42</v>
      </c>
      <c r="J201" s="274">
        <v>2</v>
      </c>
      <c r="Q201" s="275"/>
      <c r="R201" s="276"/>
      <c r="AO201" s="268"/>
    </row>
    <row r="202" spans="1:137" ht="18" customHeight="1" thickBot="1" x14ac:dyDescent="0.4">
      <c r="A202" s="274">
        <f>MATCH(B202,STUDIES!$A$3:$A$502,0)</f>
        <v>17</v>
      </c>
      <c r="B202" s="272" t="s">
        <v>784</v>
      </c>
      <c r="D202" s="281" t="s">
        <v>1100</v>
      </c>
      <c r="E202" s="272" t="s">
        <v>1167</v>
      </c>
      <c r="F202" s="155" t="str">
        <f>_xlfn.XLOOKUP(B202,STUDIES!$A$3:$A$1063,STUDIES!$G$3:$G$1063,"Not Found!")</f>
        <v>A</v>
      </c>
      <c r="G202" s="273" t="s">
        <v>147</v>
      </c>
      <c r="H202" s="273">
        <v>16</v>
      </c>
      <c r="I202" s="273">
        <v>42</v>
      </c>
      <c r="J202" s="274">
        <v>4</v>
      </c>
      <c r="Q202" s="275"/>
      <c r="R202" s="276"/>
      <c r="AO202" s="268"/>
    </row>
    <row r="203" spans="1:137" ht="18" customHeight="1" x14ac:dyDescent="0.35">
      <c r="A203" s="274">
        <f>MATCH(B203,STUDIES!$A$3:$A$502,0)</f>
        <v>17</v>
      </c>
      <c r="B203" s="272" t="s">
        <v>784</v>
      </c>
      <c r="D203" s="281" t="s">
        <v>148</v>
      </c>
      <c r="E203" s="272" t="s">
        <v>1163</v>
      </c>
      <c r="F203" s="155" t="str">
        <f>_xlfn.XLOOKUP(B203,STUDIES!$A$3:$A$1063,STUDIES!$G$3:$G$1063,"Not Found!")</f>
        <v>A</v>
      </c>
      <c r="G203" s="273" t="s">
        <v>147</v>
      </c>
      <c r="H203" s="273">
        <v>16</v>
      </c>
      <c r="I203" s="273">
        <v>40</v>
      </c>
      <c r="J203" s="274">
        <v>1</v>
      </c>
      <c r="Q203" s="379"/>
    </row>
    <row r="204" spans="1:137" ht="18" customHeight="1" x14ac:dyDescent="0.35">
      <c r="A204" s="274">
        <f>MATCH(B204,STUDIES!$A$3:$A$502,0)</f>
        <v>17</v>
      </c>
      <c r="B204" s="272" t="s">
        <v>784</v>
      </c>
      <c r="D204" s="281" t="s">
        <v>148</v>
      </c>
      <c r="E204" s="272" t="s">
        <v>1167</v>
      </c>
      <c r="F204" s="155" t="str">
        <f>_xlfn.XLOOKUP(B204,STUDIES!$A$3:$A$1063,STUDIES!$G$3:$G$1063,"Not Found!")</f>
        <v>A</v>
      </c>
      <c r="G204" s="273" t="s">
        <v>147</v>
      </c>
      <c r="H204" s="273">
        <v>16</v>
      </c>
      <c r="I204" s="273">
        <v>40</v>
      </c>
      <c r="J204" s="274">
        <v>3</v>
      </c>
    </row>
    <row r="205" spans="1:137" ht="18" customHeight="1" x14ac:dyDescent="0.35">
      <c r="A205" s="274">
        <f>MATCH(B205,STUDIES!$A$3:$A$502,0)</f>
        <v>18</v>
      </c>
      <c r="B205" s="272" t="s">
        <v>808</v>
      </c>
      <c r="D205" s="311" t="s">
        <v>1071</v>
      </c>
      <c r="E205" s="272" t="s">
        <v>154</v>
      </c>
      <c r="F205" s="155" t="str">
        <f>_xlfn.XLOOKUP(B205,STUDIES!$A$3:$A$1063,STUDIES!$G$3:$G$1063,"Not Found!")</f>
        <v>A</v>
      </c>
      <c r="G205" s="273" t="s">
        <v>147</v>
      </c>
      <c r="H205" s="273">
        <v>16</v>
      </c>
      <c r="I205" s="273">
        <v>59</v>
      </c>
      <c r="K205" s="294">
        <v>14.5</v>
      </c>
      <c r="L205" s="294"/>
      <c r="M205" s="294">
        <v>7.1</v>
      </c>
      <c r="Q205" s="282" t="s">
        <v>90</v>
      </c>
      <c r="R205" s="312">
        <v>-7.9</v>
      </c>
      <c r="S205" s="294"/>
      <c r="T205" s="294">
        <v>6.7</v>
      </c>
      <c r="U205" s="294"/>
      <c r="V205" s="294"/>
      <c r="W205" s="294"/>
    </row>
    <row r="206" spans="1:137" ht="18" customHeight="1" x14ac:dyDescent="0.35">
      <c r="A206" s="274">
        <f>MATCH(B206,STUDIES!$A$3:$A$502,0)</f>
        <v>18</v>
      </c>
      <c r="B206" s="272" t="s">
        <v>808</v>
      </c>
      <c r="D206" s="311" t="s">
        <v>1071</v>
      </c>
      <c r="E206" s="272" t="s">
        <v>151</v>
      </c>
      <c r="F206" s="155" t="str">
        <f>_xlfn.XLOOKUP(B206,STUDIES!$A$3:$A$1063,STUDIES!$G$3:$G$1063,"Not Found!")</f>
        <v>A</v>
      </c>
      <c r="G206" s="273" t="s">
        <v>147</v>
      </c>
      <c r="H206" s="273">
        <v>16</v>
      </c>
      <c r="I206" s="273">
        <v>73</v>
      </c>
      <c r="K206" s="268">
        <v>29.9</v>
      </c>
      <c r="M206" s="268">
        <v>13.5</v>
      </c>
      <c r="Q206" s="282" t="s">
        <v>92</v>
      </c>
      <c r="AJ206" s="276">
        <v>-62.3</v>
      </c>
      <c r="AL206" s="268">
        <v>37.299999999999997</v>
      </c>
    </row>
    <row r="207" spans="1:137" ht="18" customHeight="1" x14ac:dyDescent="0.35">
      <c r="A207" s="274">
        <f>MATCH(B207,STUDIES!$A$3:$A$502,0)</f>
        <v>18</v>
      </c>
      <c r="B207" s="336" t="s">
        <v>808</v>
      </c>
      <c r="C207" s="461"/>
      <c r="D207" s="311" t="s">
        <v>1071</v>
      </c>
      <c r="E207" s="272" t="s">
        <v>153</v>
      </c>
      <c r="F207" s="155" t="str">
        <f>_xlfn.XLOOKUP(B207,STUDIES!$A$3:$A$1063,STUDIES!$G$3:$G$1063,"Not Found!")</f>
        <v>A</v>
      </c>
      <c r="G207" s="273" t="s">
        <v>147</v>
      </c>
      <c r="H207" s="273">
        <v>16</v>
      </c>
      <c r="I207" s="273">
        <v>59</v>
      </c>
      <c r="K207" s="268">
        <v>21.5</v>
      </c>
      <c r="M207" s="268">
        <v>5.7</v>
      </c>
      <c r="Q207" s="275" t="s">
        <v>90</v>
      </c>
      <c r="R207" s="276">
        <v>-8.9</v>
      </c>
      <c r="T207" s="268">
        <v>7.4</v>
      </c>
    </row>
    <row r="208" spans="1:137" ht="18" customHeight="1" x14ac:dyDescent="0.35">
      <c r="A208" s="274">
        <f>MATCH(B208,STUDIES!$A$3:$A$502,0)</f>
        <v>18</v>
      </c>
      <c r="B208" s="336" t="s">
        <v>808</v>
      </c>
      <c r="C208" s="461"/>
      <c r="D208" s="311" t="s">
        <v>1071</v>
      </c>
      <c r="E208" s="272" t="s">
        <v>695</v>
      </c>
      <c r="F208" s="155" t="str">
        <f>_xlfn.XLOOKUP(B208,STUDIES!$A$3:$A$1063,STUDIES!$G$3:$G$1063,"Not Found!")</f>
        <v>A</v>
      </c>
      <c r="G208" s="273" t="s">
        <v>147</v>
      </c>
      <c r="H208" s="273">
        <v>16</v>
      </c>
      <c r="I208" s="273">
        <v>55</v>
      </c>
      <c r="K208" s="268">
        <v>7.6</v>
      </c>
      <c r="M208" s="268">
        <v>2</v>
      </c>
      <c r="Q208" s="275" t="s">
        <v>92</v>
      </c>
      <c r="R208" s="276"/>
      <c r="AJ208" s="276">
        <v>-35.9</v>
      </c>
      <c r="AL208" s="268">
        <v>55.6</v>
      </c>
    </row>
    <row r="209" spans="1:38" ht="18" customHeight="1" x14ac:dyDescent="0.35">
      <c r="A209" s="274">
        <f>MATCH(B209,STUDIES!$A$3:$A$502,0)</f>
        <v>18</v>
      </c>
      <c r="B209" s="272" t="s">
        <v>808</v>
      </c>
      <c r="D209" s="281" t="s">
        <v>1071</v>
      </c>
      <c r="E209" s="272" t="s">
        <v>1163</v>
      </c>
      <c r="F209" s="155" t="str">
        <f>_xlfn.XLOOKUP(B209,STUDIES!$A$3:$A$1063,STUDIES!$G$3:$G$1063,"Not Found!")</f>
        <v>A</v>
      </c>
      <c r="G209" s="273" t="s">
        <v>147</v>
      </c>
      <c r="H209" s="273">
        <v>16</v>
      </c>
      <c r="I209" s="273">
        <v>73</v>
      </c>
      <c r="J209" s="274">
        <v>2</v>
      </c>
      <c r="Q209" s="275"/>
      <c r="R209" s="276"/>
    </row>
    <row r="210" spans="1:38" ht="18" customHeight="1" x14ac:dyDescent="0.35">
      <c r="A210" s="274">
        <f>MATCH(B210,STUDIES!$A$3:$A$502,0)</f>
        <v>18</v>
      </c>
      <c r="B210" s="272" t="s">
        <v>808</v>
      </c>
      <c r="D210" s="281" t="s">
        <v>1071</v>
      </c>
      <c r="E210" s="272" t="s">
        <v>1167</v>
      </c>
      <c r="F210" s="155" t="str">
        <f>_xlfn.XLOOKUP(B210,STUDIES!$A$3:$A$1063,STUDIES!$G$3:$G$1063,"Not Found!")</f>
        <v>A</v>
      </c>
      <c r="G210" s="273" t="s">
        <v>147</v>
      </c>
      <c r="H210" s="273">
        <v>16</v>
      </c>
      <c r="I210" s="273">
        <v>73</v>
      </c>
      <c r="J210" s="274">
        <v>2</v>
      </c>
      <c r="Q210" s="275"/>
      <c r="R210" s="276"/>
    </row>
    <row r="211" spans="1:38" ht="18" customHeight="1" x14ac:dyDescent="0.35">
      <c r="A211" s="274">
        <f>MATCH(B211,STUDIES!$A$3:$A$502,0)</f>
        <v>18</v>
      </c>
      <c r="B211" s="272" t="s">
        <v>808</v>
      </c>
      <c r="D211" s="311" t="s">
        <v>1073</v>
      </c>
      <c r="E211" s="272" t="s">
        <v>154</v>
      </c>
      <c r="F211" s="155" t="str">
        <f>_xlfn.XLOOKUP(B211,STUDIES!$A$3:$A$1063,STUDIES!$G$3:$G$1063,"Not Found!")</f>
        <v>A</v>
      </c>
      <c r="G211" s="273" t="s">
        <v>147</v>
      </c>
      <c r="H211" s="273">
        <v>16</v>
      </c>
      <c r="I211" s="273">
        <v>59</v>
      </c>
      <c r="K211" s="294">
        <v>14.1</v>
      </c>
      <c r="L211" s="294"/>
      <c r="M211" s="294">
        <v>6.9</v>
      </c>
      <c r="Q211" s="282" t="s">
        <v>90</v>
      </c>
      <c r="R211" s="315">
        <v>-9.6999999999999993</v>
      </c>
      <c r="S211" s="294"/>
      <c r="T211" s="294">
        <v>7.1</v>
      </c>
      <c r="U211" s="294"/>
      <c r="V211" s="294"/>
      <c r="W211" s="294"/>
    </row>
    <row r="212" spans="1:38" ht="18" customHeight="1" x14ac:dyDescent="0.35">
      <c r="A212" s="274">
        <f>MATCH(B212,STUDIES!$A$3:$A$502,0)</f>
        <v>18</v>
      </c>
      <c r="B212" s="272" t="s">
        <v>808</v>
      </c>
      <c r="D212" s="311" t="s">
        <v>1073</v>
      </c>
      <c r="E212" s="272" t="s">
        <v>151</v>
      </c>
      <c r="F212" s="155" t="str">
        <f>_xlfn.XLOOKUP(B212,STUDIES!$A$3:$A$1063,STUDIES!$G$3:$G$1063,"Not Found!")</f>
        <v>A</v>
      </c>
      <c r="G212" s="273" t="s">
        <v>147</v>
      </c>
      <c r="H212" s="273">
        <v>16</v>
      </c>
      <c r="I212" s="273">
        <v>75</v>
      </c>
      <c r="K212" s="268">
        <v>25.5</v>
      </c>
      <c r="M212" s="268">
        <v>11.2</v>
      </c>
      <c r="Q212" s="282" t="s">
        <v>92</v>
      </c>
      <c r="R212" s="314"/>
      <c r="AJ212" s="276">
        <v>-72.099999999999994</v>
      </c>
      <c r="AL212" s="268">
        <v>37.200000000000003</v>
      </c>
    </row>
    <row r="213" spans="1:38" ht="18" customHeight="1" x14ac:dyDescent="0.35">
      <c r="A213" s="274">
        <f>MATCH(B213,STUDIES!$A$3:$A$502,0)</f>
        <v>18</v>
      </c>
      <c r="B213" s="336" t="s">
        <v>808</v>
      </c>
      <c r="C213" s="461"/>
      <c r="D213" s="311" t="s">
        <v>1073</v>
      </c>
      <c r="E213" s="272" t="s">
        <v>153</v>
      </c>
      <c r="F213" s="155" t="str">
        <f>_xlfn.XLOOKUP(B213,STUDIES!$A$3:$A$1063,STUDIES!$G$3:$G$1063,"Not Found!")</f>
        <v>A</v>
      </c>
      <c r="G213" s="273" t="s">
        <v>147</v>
      </c>
      <c r="H213" s="273">
        <v>16</v>
      </c>
      <c r="I213" s="273">
        <v>59</v>
      </c>
      <c r="K213" s="268">
        <v>20.399999999999999</v>
      </c>
      <c r="M213" s="268">
        <v>5.7</v>
      </c>
      <c r="Q213" s="282" t="s">
        <v>90</v>
      </c>
      <c r="R213" s="314">
        <v>-12.4</v>
      </c>
      <c r="T213" s="268">
        <v>6.9</v>
      </c>
    </row>
    <row r="214" spans="1:38" ht="18" customHeight="1" x14ac:dyDescent="0.35">
      <c r="A214" s="274">
        <f>MATCH(B214,STUDIES!$A$3:$A$502,0)</f>
        <v>18</v>
      </c>
      <c r="B214" s="336" t="s">
        <v>808</v>
      </c>
      <c r="C214" s="461"/>
      <c r="D214" s="311" t="s">
        <v>1073</v>
      </c>
      <c r="E214" s="272" t="s">
        <v>695</v>
      </c>
      <c r="F214" s="155" t="str">
        <f>_xlfn.XLOOKUP(B214,STUDIES!$A$3:$A$1063,STUDIES!$G$3:$G$1063,"Not Found!")</f>
        <v>A</v>
      </c>
      <c r="G214" s="273" t="s">
        <v>147</v>
      </c>
      <c r="H214" s="273">
        <v>16</v>
      </c>
      <c r="I214" s="273">
        <v>50</v>
      </c>
      <c r="K214" s="268">
        <v>7.6</v>
      </c>
      <c r="M214" s="268">
        <v>1.9</v>
      </c>
      <c r="Q214" s="282" t="s">
        <v>92</v>
      </c>
      <c r="R214" s="314"/>
      <c r="AJ214" s="276">
        <v>-60.6</v>
      </c>
      <c r="AL214" s="268">
        <v>55.6</v>
      </c>
    </row>
    <row r="215" spans="1:38" ht="18" customHeight="1" x14ac:dyDescent="0.35">
      <c r="A215" s="274">
        <f>MATCH(B215,STUDIES!$A$3:$A$502,0)</f>
        <v>18</v>
      </c>
      <c r="B215" s="272" t="s">
        <v>808</v>
      </c>
      <c r="D215" s="281" t="s">
        <v>1073</v>
      </c>
      <c r="E215" s="272" t="s">
        <v>1163</v>
      </c>
      <c r="F215" s="155" t="str">
        <f>_xlfn.XLOOKUP(B215,STUDIES!$A$3:$A$1063,STUDIES!$G$3:$G$1063,"Not Found!")</f>
        <v>A</v>
      </c>
      <c r="G215" s="273" t="s">
        <v>147</v>
      </c>
      <c r="H215" s="273">
        <v>16</v>
      </c>
      <c r="I215" s="273">
        <v>75</v>
      </c>
      <c r="J215" s="274">
        <v>2</v>
      </c>
      <c r="R215" s="314"/>
    </row>
    <row r="216" spans="1:38" ht="18" customHeight="1" x14ac:dyDescent="0.35">
      <c r="A216" s="274">
        <f>MATCH(B216,STUDIES!$A$3:$A$502,0)</f>
        <v>18</v>
      </c>
      <c r="B216" s="272" t="s">
        <v>808</v>
      </c>
      <c r="D216" s="281" t="s">
        <v>1073</v>
      </c>
      <c r="E216" s="272" t="s">
        <v>1167</v>
      </c>
      <c r="F216" s="155" t="str">
        <f>_xlfn.XLOOKUP(B216,STUDIES!$A$3:$A$1063,STUDIES!$G$3:$G$1063,"Not Found!")</f>
        <v>A</v>
      </c>
      <c r="G216" s="273" t="s">
        <v>147</v>
      </c>
      <c r="H216" s="273">
        <v>16</v>
      </c>
      <c r="I216" s="273">
        <v>75</v>
      </c>
      <c r="J216" s="274">
        <v>3</v>
      </c>
      <c r="R216" s="314"/>
    </row>
    <row r="217" spans="1:38" ht="18" customHeight="1" x14ac:dyDescent="0.35">
      <c r="A217" s="274">
        <f>MATCH(B217,STUDIES!$A$3:$A$502,0)</f>
        <v>18</v>
      </c>
      <c r="B217" s="272" t="s">
        <v>808</v>
      </c>
      <c r="D217" s="311" t="s">
        <v>1072</v>
      </c>
      <c r="E217" s="272" t="s">
        <v>154</v>
      </c>
      <c r="F217" s="155" t="str">
        <f>_xlfn.XLOOKUP(B217,STUDIES!$A$3:$A$1063,STUDIES!$G$3:$G$1063,"Not Found!")</f>
        <v>A</v>
      </c>
      <c r="G217" s="273" t="s">
        <v>147</v>
      </c>
      <c r="H217" s="273">
        <v>16</v>
      </c>
      <c r="I217" s="273">
        <v>62</v>
      </c>
      <c r="K217" s="294">
        <v>14.2</v>
      </c>
      <c r="L217" s="294"/>
      <c r="M217" s="294">
        <v>7.7</v>
      </c>
      <c r="Q217" s="275" t="s">
        <v>90</v>
      </c>
      <c r="R217" s="313">
        <v>-9.1999999999999993</v>
      </c>
      <c r="S217" s="294"/>
      <c r="T217" s="294">
        <v>6.8</v>
      </c>
      <c r="U217" s="294"/>
      <c r="V217" s="294"/>
      <c r="W217" s="294"/>
    </row>
    <row r="218" spans="1:38" ht="18" customHeight="1" x14ac:dyDescent="0.35">
      <c r="A218" s="274">
        <f>MATCH(B218,STUDIES!$A$3:$A$502,0)</f>
        <v>18</v>
      </c>
      <c r="B218" s="272" t="s">
        <v>808</v>
      </c>
      <c r="D218" s="311" t="s">
        <v>1072</v>
      </c>
      <c r="E218" s="272" t="s">
        <v>151</v>
      </c>
      <c r="F218" s="155" t="str">
        <f>_xlfn.XLOOKUP(B218,STUDIES!$A$3:$A$1063,STUDIES!$G$3:$G$1063,"Not Found!")</f>
        <v>A</v>
      </c>
      <c r="G218" s="273" t="s">
        <v>147</v>
      </c>
      <c r="H218" s="273">
        <v>16</v>
      </c>
      <c r="I218" s="273">
        <v>80</v>
      </c>
      <c r="K218" s="268">
        <v>26.2</v>
      </c>
      <c r="M218" s="268">
        <v>10.1</v>
      </c>
      <c r="Q218" s="275" t="s">
        <v>92</v>
      </c>
      <c r="R218" s="276"/>
      <c r="AJ218" s="276">
        <v>-69.2</v>
      </c>
      <c r="AL218" s="268">
        <v>38.299999999999997</v>
      </c>
    </row>
    <row r="219" spans="1:38" ht="18" customHeight="1" x14ac:dyDescent="0.35">
      <c r="A219" s="274">
        <f>MATCH(B219,STUDIES!$A$3:$A$502,0)</f>
        <v>18</v>
      </c>
      <c r="B219" s="336" t="s">
        <v>808</v>
      </c>
      <c r="C219" s="461"/>
      <c r="D219" s="311" t="s">
        <v>1072</v>
      </c>
      <c r="E219" s="272" t="s">
        <v>153</v>
      </c>
      <c r="F219" s="155" t="str">
        <f>_xlfn.XLOOKUP(B219,STUDIES!$A$3:$A$1063,STUDIES!$G$3:$G$1063,"Not Found!")</f>
        <v>A</v>
      </c>
      <c r="G219" s="273" t="s">
        <v>147</v>
      </c>
      <c r="H219" s="273">
        <v>16</v>
      </c>
      <c r="I219" s="273">
        <v>62</v>
      </c>
      <c r="K219" s="268">
        <v>19.899999999999999</v>
      </c>
      <c r="M219" s="268">
        <v>6.7</v>
      </c>
      <c r="Q219" s="275" t="s">
        <v>90</v>
      </c>
      <c r="R219" s="276">
        <v>-11.4</v>
      </c>
      <c r="T219" s="268">
        <v>7.8</v>
      </c>
    </row>
    <row r="220" spans="1:38" ht="18" customHeight="1" x14ac:dyDescent="0.35">
      <c r="A220" s="274">
        <f>MATCH(B220,STUDIES!$A$3:$A$502,0)</f>
        <v>18</v>
      </c>
      <c r="B220" s="336" t="s">
        <v>808</v>
      </c>
      <c r="C220" s="461"/>
      <c r="D220" s="311" t="s">
        <v>1072</v>
      </c>
      <c r="E220" s="272" t="s">
        <v>695</v>
      </c>
      <c r="F220" s="155" t="str">
        <f>_xlfn.XLOOKUP(B220,STUDIES!$A$3:$A$1063,STUDIES!$G$3:$G$1063,"Not Found!")</f>
        <v>A</v>
      </c>
      <c r="G220" s="273" t="s">
        <v>147</v>
      </c>
      <c r="H220" s="273">
        <v>16</v>
      </c>
      <c r="I220" s="273">
        <v>56</v>
      </c>
      <c r="K220" s="268">
        <v>7.1</v>
      </c>
      <c r="M220" s="268">
        <v>2.4</v>
      </c>
      <c r="Q220" s="275" t="s">
        <v>92</v>
      </c>
      <c r="R220" s="276"/>
      <c r="AJ220" s="276">
        <v>-49.6</v>
      </c>
      <c r="AL220" s="268">
        <v>55.6</v>
      </c>
    </row>
    <row r="221" spans="1:38" ht="18" customHeight="1" x14ac:dyDescent="0.35">
      <c r="A221" s="274">
        <f>MATCH(B221,STUDIES!$A$3:$A$502,0)</f>
        <v>18</v>
      </c>
      <c r="B221" s="272" t="s">
        <v>808</v>
      </c>
      <c r="D221" s="281" t="s">
        <v>1072</v>
      </c>
      <c r="E221" s="272" t="s">
        <v>1163</v>
      </c>
      <c r="F221" s="155" t="str">
        <f>_xlfn.XLOOKUP(B221,STUDIES!$A$3:$A$1063,STUDIES!$G$3:$G$1063,"Not Found!")</f>
        <v>A</v>
      </c>
      <c r="G221" s="273" t="s">
        <v>147</v>
      </c>
      <c r="H221" s="273">
        <v>16</v>
      </c>
      <c r="I221" s="273">
        <v>80</v>
      </c>
      <c r="J221" s="274">
        <v>0</v>
      </c>
      <c r="Q221" s="275"/>
      <c r="R221" s="276"/>
    </row>
    <row r="222" spans="1:38" ht="18" customHeight="1" x14ac:dyDescent="0.35">
      <c r="A222" s="274">
        <f>MATCH(B222,STUDIES!$A$3:$A$502,0)</f>
        <v>18</v>
      </c>
      <c r="B222" s="272" t="s">
        <v>808</v>
      </c>
      <c r="D222" s="281" t="s">
        <v>1072</v>
      </c>
      <c r="E222" s="272" t="s">
        <v>1167</v>
      </c>
      <c r="F222" s="155" t="str">
        <f>_xlfn.XLOOKUP(B222,STUDIES!$A$3:$A$1063,STUDIES!$G$3:$G$1063,"Not Found!")</f>
        <v>A</v>
      </c>
      <c r="G222" s="273" t="s">
        <v>147</v>
      </c>
      <c r="H222" s="273">
        <v>16</v>
      </c>
      <c r="I222" s="273">
        <v>80</v>
      </c>
      <c r="J222" s="274">
        <v>4</v>
      </c>
      <c r="Q222" s="275"/>
      <c r="R222" s="276"/>
    </row>
    <row r="223" spans="1:38" ht="18" customHeight="1" x14ac:dyDescent="0.35">
      <c r="A223" s="274">
        <f>MATCH(B223,STUDIES!$A$3:$A$502,0)</f>
        <v>18</v>
      </c>
      <c r="B223" s="272" t="s">
        <v>808</v>
      </c>
      <c r="D223" s="316" t="s">
        <v>148</v>
      </c>
      <c r="E223" s="272" t="s">
        <v>154</v>
      </c>
      <c r="F223" s="155" t="str">
        <f>_xlfn.XLOOKUP(B223,STUDIES!$A$3:$A$1063,STUDIES!$G$3:$G$1063,"Not Found!")</f>
        <v>A</v>
      </c>
      <c r="G223" s="273" t="s">
        <v>147</v>
      </c>
      <c r="H223" s="273">
        <v>16</v>
      </c>
      <c r="I223" s="273">
        <v>24</v>
      </c>
      <c r="K223" s="294">
        <v>14.1</v>
      </c>
      <c r="L223" s="294"/>
      <c r="M223" s="294">
        <v>7.1</v>
      </c>
      <c r="Q223" s="275" t="s">
        <v>90</v>
      </c>
      <c r="R223" s="313">
        <v>-5.9</v>
      </c>
      <c r="S223" s="294"/>
      <c r="T223" s="294">
        <v>6.9</v>
      </c>
      <c r="U223" s="294"/>
      <c r="V223" s="294"/>
      <c r="W223" s="294"/>
    </row>
    <row r="224" spans="1:38" ht="18" customHeight="1" x14ac:dyDescent="0.35">
      <c r="A224" s="274">
        <f>MATCH(B224,STUDIES!$A$3:$A$502,0)</f>
        <v>18</v>
      </c>
      <c r="B224" s="272" t="s">
        <v>808</v>
      </c>
      <c r="D224" s="316" t="s">
        <v>148</v>
      </c>
      <c r="E224" s="272" t="s">
        <v>151</v>
      </c>
      <c r="F224" s="155" t="str">
        <f>_xlfn.XLOOKUP(B224,STUDIES!$A$3:$A$1063,STUDIES!$G$3:$G$1063,"Not Found!")</f>
        <v>A</v>
      </c>
      <c r="G224" s="273" t="s">
        <v>147</v>
      </c>
      <c r="H224" s="273">
        <v>16</v>
      </c>
      <c r="I224" s="273">
        <v>52</v>
      </c>
      <c r="K224" s="268">
        <v>28.9</v>
      </c>
      <c r="M224" s="268">
        <v>11.8</v>
      </c>
      <c r="Q224" s="275" t="s">
        <v>92</v>
      </c>
      <c r="R224" s="276"/>
      <c r="AJ224" s="276">
        <v>-41.1</v>
      </c>
      <c r="AL224" s="268">
        <v>56.5</v>
      </c>
    </row>
    <row r="225" spans="1:38" ht="18" customHeight="1" x14ac:dyDescent="0.35">
      <c r="A225" s="274">
        <f>MATCH(B225,STUDIES!$A$3:$A$502,0)</f>
        <v>18</v>
      </c>
      <c r="B225" s="336" t="s">
        <v>808</v>
      </c>
      <c r="C225" s="461"/>
      <c r="D225" s="316" t="s">
        <v>148</v>
      </c>
      <c r="E225" s="272" t="s">
        <v>153</v>
      </c>
      <c r="F225" s="155" t="str">
        <f>_xlfn.XLOOKUP(B225,STUDIES!$A$3:$A$1063,STUDIES!$G$3:$G$1063,"Not Found!")</f>
        <v>A</v>
      </c>
      <c r="G225" s="273" t="s">
        <v>147</v>
      </c>
      <c r="H225" s="273">
        <v>16</v>
      </c>
      <c r="I225" s="273">
        <v>24</v>
      </c>
      <c r="K225" s="268">
        <v>19.399999999999999</v>
      </c>
      <c r="M225" s="268">
        <v>6.8</v>
      </c>
      <c r="Q225" s="275" t="s">
        <v>90</v>
      </c>
      <c r="R225" s="276">
        <v>-5.8</v>
      </c>
      <c r="T225" s="268">
        <v>6.9</v>
      </c>
    </row>
    <row r="226" spans="1:38" ht="18" customHeight="1" x14ac:dyDescent="0.35">
      <c r="A226" s="274">
        <f>MATCH(B226,STUDIES!$A$3:$A$502,0)</f>
        <v>18</v>
      </c>
      <c r="B226" s="336" t="s">
        <v>808</v>
      </c>
      <c r="C226" s="461"/>
      <c r="D226" s="316" t="s">
        <v>148</v>
      </c>
      <c r="E226" s="272" t="s">
        <v>695</v>
      </c>
      <c r="F226" s="155" t="str">
        <f>_xlfn.XLOOKUP(B226,STUDIES!$A$3:$A$1063,STUDIES!$G$3:$G$1063,"Not Found!")</f>
        <v>A</v>
      </c>
      <c r="G226" s="273" t="s">
        <v>147</v>
      </c>
      <c r="H226" s="273">
        <v>16</v>
      </c>
      <c r="I226" s="273">
        <v>22</v>
      </c>
      <c r="K226" s="268">
        <v>7.4</v>
      </c>
      <c r="M226" s="268">
        <v>2.4</v>
      </c>
      <c r="Q226" s="275" t="s">
        <v>92</v>
      </c>
      <c r="R226" s="276"/>
      <c r="AJ226" s="276">
        <v>4.3</v>
      </c>
      <c r="AL226" s="268">
        <v>55.6</v>
      </c>
    </row>
    <row r="227" spans="1:38" ht="18" customHeight="1" x14ac:dyDescent="0.35">
      <c r="A227" s="274">
        <f>MATCH(B227,STUDIES!$A$3:$A$502,0)</f>
        <v>18</v>
      </c>
      <c r="B227" s="272" t="s">
        <v>808</v>
      </c>
      <c r="D227" s="281" t="s">
        <v>148</v>
      </c>
      <c r="E227" s="272" t="s">
        <v>1163</v>
      </c>
      <c r="F227" s="155" t="str">
        <f>_xlfn.XLOOKUP(B227,STUDIES!$A$3:$A$1063,STUDIES!$G$3:$G$1063,"Not Found!")</f>
        <v>A</v>
      </c>
      <c r="G227" s="273" t="s">
        <v>147</v>
      </c>
      <c r="H227" s="273">
        <v>16</v>
      </c>
      <c r="I227" s="273">
        <v>52</v>
      </c>
      <c r="J227" s="274">
        <v>2</v>
      </c>
      <c r="Q227" s="275"/>
      <c r="R227" s="276"/>
    </row>
    <row r="228" spans="1:38" ht="18" customHeight="1" x14ac:dyDescent="0.35">
      <c r="A228" s="274">
        <f>MATCH(B228,STUDIES!$A$3:$A$502,0)</f>
        <v>18</v>
      </c>
      <c r="B228" s="272" t="s">
        <v>808</v>
      </c>
      <c r="D228" s="281" t="s">
        <v>148</v>
      </c>
      <c r="E228" s="272" t="s">
        <v>1167</v>
      </c>
      <c r="F228" s="155" t="str">
        <f>_xlfn.XLOOKUP(B228,STUDIES!$A$3:$A$1063,STUDIES!$G$3:$G$1063,"Not Found!")</f>
        <v>A</v>
      </c>
      <c r="G228" s="273" t="s">
        <v>147</v>
      </c>
      <c r="H228" s="273">
        <v>16</v>
      </c>
      <c r="I228" s="273">
        <v>52</v>
      </c>
      <c r="J228" s="274">
        <v>1</v>
      </c>
      <c r="Q228" s="275"/>
      <c r="R228" s="276"/>
    </row>
    <row r="229" spans="1:38" ht="18" customHeight="1" x14ac:dyDescent="0.35">
      <c r="A229" s="274">
        <f>MATCH(B229,STUDIES!$A$3:$A$502,0)</f>
        <v>19</v>
      </c>
      <c r="B229" s="272" t="s">
        <v>314</v>
      </c>
      <c r="D229" s="281" t="s">
        <v>1065</v>
      </c>
      <c r="E229" s="272" t="s">
        <v>1167</v>
      </c>
      <c r="F229" s="155" t="str">
        <f>_xlfn.XLOOKUP(B229,STUDIES!$A$3:$A$1063,STUDIES!$G$3:$G$1063,"Not Found!")</f>
        <v>A</v>
      </c>
      <c r="G229" s="273" t="s">
        <v>147</v>
      </c>
      <c r="H229" s="273">
        <v>12</v>
      </c>
      <c r="I229" s="273">
        <v>40</v>
      </c>
      <c r="J229" s="274">
        <v>2</v>
      </c>
      <c r="Q229" s="275"/>
      <c r="R229" s="276"/>
    </row>
    <row r="230" spans="1:38" ht="18" customHeight="1" x14ac:dyDescent="0.35">
      <c r="A230" s="274">
        <f>MATCH(B230,STUDIES!$A$3:$A$502,0)</f>
        <v>19</v>
      </c>
      <c r="B230" s="272" t="s">
        <v>314</v>
      </c>
      <c r="D230" s="281" t="s">
        <v>148</v>
      </c>
      <c r="E230" s="272" t="s">
        <v>1167</v>
      </c>
      <c r="F230" s="155" t="str">
        <f>_xlfn.XLOOKUP(B230,STUDIES!$A$3:$A$1063,STUDIES!$G$3:$G$1063,"Not Found!")</f>
        <v>A</v>
      </c>
      <c r="G230" s="273" t="s">
        <v>147</v>
      </c>
      <c r="H230" s="273">
        <v>12</v>
      </c>
      <c r="I230" s="273">
        <v>43</v>
      </c>
      <c r="J230" s="274">
        <v>1</v>
      </c>
      <c r="Q230" s="275"/>
      <c r="R230" s="276"/>
    </row>
    <row r="231" spans="1:38" ht="18" customHeight="1" x14ac:dyDescent="0.35">
      <c r="A231" s="274">
        <f>MATCH(B231,STUDIES!$A$3:$A$502,0)</f>
        <v>20</v>
      </c>
      <c r="B231" s="272" t="s">
        <v>179</v>
      </c>
      <c r="D231" s="281" t="s">
        <v>1085</v>
      </c>
      <c r="E231" s="272" t="s">
        <v>1163</v>
      </c>
      <c r="F231" s="155" t="str">
        <f>_xlfn.XLOOKUP(B231,STUDIES!$A$3:$A$1063,STUDIES!$G$3:$G$1063,"Not Found!")</f>
        <v>C</v>
      </c>
      <c r="G231" s="273" t="s">
        <v>152</v>
      </c>
      <c r="H231" s="273">
        <v>24</v>
      </c>
      <c r="I231" s="273">
        <v>4</v>
      </c>
      <c r="J231" s="274">
        <v>0</v>
      </c>
      <c r="Q231" s="275"/>
      <c r="R231" s="276"/>
    </row>
    <row r="232" spans="1:38" ht="18" customHeight="1" x14ac:dyDescent="0.35">
      <c r="A232" s="274">
        <f>MATCH(B232,STUDIES!$A$3:$A$502,0)</f>
        <v>20</v>
      </c>
      <c r="B232" s="272" t="s">
        <v>179</v>
      </c>
      <c r="D232" s="281" t="s">
        <v>1085</v>
      </c>
      <c r="E232" s="272" t="s">
        <v>1167</v>
      </c>
      <c r="F232" s="155" t="str">
        <f>_xlfn.XLOOKUP(B232,STUDIES!$A$3:$A$1063,STUDIES!$G$3:$G$1063,"Not Found!")</f>
        <v>C</v>
      </c>
      <c r="G232" s="273" t="s">
        <v>152</v>
      </c>
      <c r="H232" s="273">
        <v>24</v>
      </c>
      <c r="I232" s="273">
        <v>4</v>
      </c>
      <c r="J232" s="274">
        <v>0</v>
      </c>
      <c r="Q232" s="275"/>
      <c r="R232" s="276"/>
    </row>
    <row r="233" spans="1:38" ht="18" customHeight="1" x14ac:dyDescent="0.35">
      <c r="A233" s="274">
        <f>MATCH(B233,STUDIES!$A$3:$A$502,0)</f>
        <v>20</v>
      </c>
      <c r="B233" s="272" t="s">
        <v>179</v>
      </c>
      <c r="D233" s="281" t="s">
        <v>148</v>
      </c>
      <c r="E233" s="272" t="s">
        <v>1163</v>
      </c>
      <c r="F233" s="155" t="str">
        <f>_xlfn.XLOOKUP(B233,STUDIES!$A$3:$A$1063,STUDIES!$G$3:$G$1063,"Not Found!")</f>
        <v>C</v>
      </c>
      <c r="G233" s="273" t="s">
        <v>152</v>
      </c>
      <c r="H233" s="273">
        <v>24</v>
      </c>
      <c r="I233" s="273">
        <v>4</v>
      </c>
      <c r="J233" s="274">
        <v>0</v>
      </c>
      <c r="Q233" s="275"/>
      <c r="R233" s="276"/>
    </row>
    <row r="234" spans="1:38" ht="18" customHeight="1" x14ac:dyDescent="0.35">
      <c r="A234" s="274">
        <f>MATCH(B234,STUDIES!$A$3:$A$502,0)</f>
        <v>20</v>
      </c>
      <c r="B234" s="272" t="s">
        <v>179</v>
      </c>
      <c r="D234" s="281" t="s">
        <v>148</v>
      </c>
      <c r="E234" s="272" t="s">
        <v>1167</v>
      </c>
      <c r="F234" s="155" t="str">
        <f>_xlfn.XLOOKUP(B234,STUDIES!$A$3:$A$1063,STUDIES!$G$3:$G$1063,"Not Found!")</f>
        <v>C</v>
      </c>
      <c r="G234" s="273" t="s">
        <v>152</v>
      </c>
      <c r="H234" s="273">
        <v>24</v>
      </c>
      <c r="I234" s="273">
        <v>4</v>
      </c>
      <c r="J234" s="274">
        <v>0</v>
      </c>
      <c r="Q234" s="275"/>
      <c r="R234" s="276"/>
    </row>
    <row r="235" spans="1:38" ht="18" customHeight="1" x14ac:dyDescent="0.35">
      <c r="A235" s="274">
        <f>MATCH(B235,STUDIES!$A$3:$A$502,0)</f>
        <v>21</v>
      </c>
      <c r="B235" s="272" t="s">
        <v>176</v>
      </c>
      <c r="D235" s="281" t="s">
        <v>1063</v>
      </c>
      <c r="E235" s="272" t="s">
        <v>1163</v>
      </c>
      <c r="F235" s="155" t="str">
        <f>_xlfn.XLOOKUP(B235,STUDIES!$A$3:$A$1063,STUDIES!$G$3:$G$1063,"Not Found!")</f>
        <v>A</v>
      </c>
      <c r="G235" s="273" t="s">
        <v>147</v>
      </c>
      <c r="H235" s="273">
        <v>12</v>
      </c>
      <c r="I235" s="273">
        <v>20</v>
      </c>
      <c r="J235" s="274">
        <v>0</v>
      </c>
      <c r="Q235" s="275"/>
      <c r="R235" s="276"/>
    </row>
    <row r="236" spans="1:38" ht="18" customHeight="1" x14ac:dyDescent="0.35">
      <c r="A236" s="274">
        <f>MATCH(B236,STUDIES!$A$3:$A$502,0)</f>
        <v>21</v>
      </c>
      <c r="B236" s="272" t="s">
        <v>176</v>
      </c>
      <c r="D236" s="281" t="s">
        <v>1063</v>
      </c>
      <c r="E236" s="272" t="s">
        <v>1167</v>
      </c>
      <c r="F236" s="155" t="str">
        <f>_xlfn.XLOOKUP(B236,STUDIES!$A$3:$A$1063,STUDIES!$G$3:$G$1063,"Not Found!")</f>
        <v>A</v>
      </c>
      <c r="G236" s="273" t="s">
        <v>147</v>
      </c>
      <c r="H236" s="273">
        <v>12</v>
      </c>
      <c r="I236" s="273">
        <v>20</v>
      </c>
      <c r="J236" s="274">
        <v>2</v>
      </c>
    </row>
    <row r="237" spans="1:38" ht="18" customHeight="1" x14ac:dyDescent="0.35">
      <c r="A237" s="274">
        <f>MATCH(B237,STUDIES!$A$3:$A$502,0)</f>
        <v>21</v>
      </c>
      <c r="B237" s="272" t="s">
        <v>176</v>
      </c>
      <c r="D237" s="281" t="s">
        <v>1064</v>
      </c>
      <c r="E237" s="272" t="s">
        <v>1163</v>
      </c>
      <c r="F237" s="155" t="str">
        <f>_xlfn.XLOOKUP(B237,STUDIES!$A$3:$A$1063,STUDIES!$G$3:$G$1063,"Not Found!")</f>
        <v>A</v>
      </c>
      <c r="G237" s="273" t="s">
        <v>147</v>
      </c>
      <c r="H237" s="273">
        <v>12</v>
      </c>
      <c r="I237" s="273">
        <v>21</v>
      </c>
      <c r="J237" s="274">
        <v>0</v>
      </c>
    </row>
    <row r="238" spans="1:38" ht="18" customHeight="1" x14ac:dyDescent="0.35">
      <c r="A238" s="274">
        <f>MATCH(B238,STUDIES!$A$3:$A$502,0)</f>
        <v>21</v>
      </c>
      <c r="B238" s="272" t="s">
        <v>176</v>
      </c>
      <c r="D238" s="281" t="s">
        <v>1064</v>
      </c>
      <c r="E238" s="272" t="s">
        <v>1167</v>
      </c>
      <c r="F238" s="155" t="str">
        <f>_xlfn.XLOOKUP(B238,STUDIES!$A$3:$A$1063,STUDIES!$G$3:$G$1063,"Not Found!")</f>
        <v>A</v>
      </c>
      <c r="G238" s="273" t="s">
        <v>147</v>
      </c>
      <c r="H238" s="273">
        <v>12</v>
      </c>
      <c r="I238" s="273">
        <v>21</v>
      </c>
      <c r="J238" s="274">
        <v>1</v>
      </c>
    </row>
    <row r="239" spans="1:38" ht="18" customHeight="1" x14ac:dyDescent="0.35">
      <c r="A239" s="274">
        <f>MATCH(B239,STUDIES!$A$3:$A$502,0)</f>
        <v>21</v>
      </c>
      <c r="B239" s="272" t="s">
        <v>176</v>
      </c>
      <c r="D239" s="281" t="s">
        <v>148</v>
      </c>
      <c r="E239" s="272" t="s">
        <v>1163</v>
      </c>
      <c r="F239" s="155" t="str">
        <f>_xlfn.XLOOKUP(B239,STUDIES!$A$3:$A$1063,STUDIES!$G$3:$G$1063,"Not Found!")</f>
        <v>A</v>
      </c>
      <c r="G239" s="273" t="s">
        <v>147</v>
      </c>
      <c r="H239" s="273">
        <v>12</v>
      </c>
      <c r="I239" s="273">
        <v>10</v>
      </c>
      <c r="J239" s="274">
        <v>0</v>
      </c>
      <c r="Q239" s="268"/>
      <c r="R239" s="276"/>
    </row>
    <row r="240" spans="1:38" ht="18" customHeight="1" x14ac:dyDescent="0.35">
      <c r="A240" s="274">
        <f>MATCH(B240,STUDIES!$A$3:$A$502,0)</f>
        <v>21</v>
      </c>
      <c r="B240" s="272" t="s">
        <v>176</v>
      </c>
      <c r="D240" s="281" t="s">
        <v>148</v>
      </c>
      <c r="E240" s="272" t="s">
        <v>1167</v>
      </c>
      <c r="F240" s="155" t="str">
        <f>_xlfn.XLOOKUP(B240,STUDIES!$A$3:$A$1063,STUDIES!$G$3:$G$1063,"Not Found!")</f>
        <v>A</v>
      </c>
      <c r="G240" s="273" t="s">
        <v>147</v>
      </c>
      <c r="H240" s="273">
        <v>12</v>
      </c>
      <c r="I240" s="273">
        <v>10</v>
      </c>
      <c r="J240" s="274">
        <v>0</v>
      </c>
      <c r="Q240" s="275"/>
      <c r="R240" s="268"/>
    </row>
    <row r="241" spans="1:47" ht="18" customHeight="1" x14ac:dyDescent="0.35">
      <c r="A241" s="274">
        <f>MATCH(B241,STUDIES!$A$3:$A$502,0)</f>
        <v>22</v>
      </c>
      <c r="B241" s="272" t="s">
        <v>177</v>
      </c>
      <c r="D241" s="281" t="s">
        <v>1067</v>
      </c>
      <c r="E241" s="272" t="s">
        <v>1163</v>
      </c>
      <c r="F241" s="155" t="str">
        <f>_xlfn.XLOOKUP(B241,STUDIES!$A$3:$A$1063,STUDIES!$G$3:$G$1063,"Not Found!")</f>
        <v>C</v>
      </c>
      <c r="G241" s="273" t="s">
        <v>152</v>
      </c>
      <c r="H241" s="273">
        <v>36</v>
      </c>
      <c r="I241" s="273">
        <v>30</v>
      </c>
      <c r="J241" s="274">
        <v>0</v>
      </c>
      <c r="Q241" s="268"/>
      <c r="R241" s="276"/>
    </row>
    <row r="242" spans="1:47" ht="18" customHeight="1" x14ac:dyDescent="0.35">
      <c r="A242" s="274">
        <f>MATCH(B242,STUDIES!$A$3:$A$502,0)</f>
        <v>22</v>
      </c>
      <c r="B242" s="272" t="s">
        <v>177</v>
      </c>
      <c r="D242" s="281" t="s">
        <v>1067</v>
      </c>
      <c r="E242" s="272" t="s">
        <v>1167</v>
      </c>
      <c r="F242" s="155" t="str">
        <f>_xlfn.XLOOKUP(B242,STUDIES!$A$3:$A$1063,STUDIES!$G$3:$G$1063,"Not Found!")</f>
        <v>C</v>
      </c>
      <c r="G242" s="273" t="s">
        <v>152</v>
      </c>
      <c r="H242" s="273">
        <v>36</v>
      </c>
      <c r="I242" s="273">
        <v>30</v>
      </c>
      <c r="J242" s="274">
        <v>5</v>
      </c>
      <c r="Q242" s="275"/>
      <c r="R242" s="276"/>
    </row>
    <row r="243" spans="1:47" ht="18" customHeight="1" x14ac:dyDescent="0.35">
      <c r="A243" s="274">
        <f>MATCH(B243,STUDIES!$A$3:$A$502,0)</f>
        <v>22</v>
      </c>
      <c r="B243" s="272" t="s">
        <v>177</v>
      </c>
      <c r="D243" s="281" t="s">
        <v>148</v>
      </c>
      <c r="E243" s="272" t="s">
        <v>1163</v>
      </c>
      <c r="F243" s="155" t="str">
        <f>_xlfn.XLOOKUP(B243,STUDIES!$A$3:$A$1063,STUDIES!$G$3:$G$1063,"Not Found!")</f>
        <v>C</v>
      </c>
      <c r="G243" s="273" t="s">
        <v>152</v>
      </c>
      <c r="H243" s="273">
        <v>36</v>
      </c>
      <c r="I243" s="273">
        <v>10</v>
      </c>
      <c r="J243" s="274">
        <v>0</v>
      </c>
      <c r="Q243" s="275"/>
      <c r="R243" s="276"/>
    </row>
    <row r="244" spans="1:47" ht="18" customHeight="1" x14ac:dyDescent="0.35">
      <c r="A244" s="274">
        <f>MATCH(B244,STUDIES!$A$3:$A$502,0)</f>
        <v>22</v>
      </c>
      <c r="B244" s="272" t="s">
        <v>177</v>
      </c>
      <c r="D244" s="281" t="s">
        <v>148</v>
      </c>
      <c r="E244" s="272" t="s">
        <v>1167</v>
      </c>
      <c r="F244" s="155" t="str">
        <f>_xlfn.XLOOKUP(B244,STUDIES!$A$3:$A$1063,STUDIES!$G$3:$G$1063,"Not Found!")</f>
        <v>C</v>
      </c>
      <c r="G244" s="273" t="s">
        <v>152</v>
      </c>
      <c r="H244" s="273">
        <v>36</v>
      </c>
      <c r="I244" s="273">
        <v>10</v>
      </c>
      <c r="J244" s="274">
        <v>0</v>
      </c>
      <c r="Q244" s="275"/>
      <c r="R244" s="276"/>
    </row>
    <row r="245" spans="1:47" ht="18" customHeight="1" x14ac:dyDescent="0.35">
      <c r="A245" s="274">
        <f>MATCH(B245,STUDIES!$A$3:$A$502,0)</f>
        <v>23</v>
      </c>
      <c r="B245" s="272" t="s">
        <v>869</v>
      </c>
      <c r="D245" s="317" t="s">
        <v>1084</v>
      </c>
      <c r="E245" s="272" t="s">
        <v>151</v>
      </c>
      <c r="F245" s="155" t="str">
        <f>_xlfn.XLOOKUP(B245,STUDIES!$A$3:$A$1063,STUDIES!$G$3:$G$1063,"Not Found!")</f>
        <v>A</v>
      </c>
      <c r="G245" s="273" t="s">
        <v>147</v>
      </c>
      <c r="H245" s="273">
        <v>16</v>
      </c>
      <c r="I245" s="273">
        <v>140</v>
      </c>
      <c r="K245" s="268">
        <v>27.6</v>
      </c>
      <c r="L245" s="268">
        <v>1.1000000000000001</v>
      </c>
      <c r="Q245" s="275"/>
      <c r="R245" s="276"/>
      <c r="X245" s="276">
        <v>14.7</v>
      </c>
      <c r="Y245" s="268">
        <v>1</v>
      </c>
    </row>
    <row r="246" spans="1:47" ht="18" customHeight="1" x14ac:dyDescent="0.35">
      <c r="A246" s="274">
        <f>MATCH(B246,STUDIES!$A$3:$A$502,0)</f>
        <v>23</v>
      </c>
      <c r="B246" s="272" t="s">
        <v>869</v>
      </c>
      <c r="D246" s="317" t="s">
        <v>1084</v>
      </c>
      <c r="E246" s="272" t="s">
        <v>297</v>
      </c>
      <c r="F246" s="155" t="str">
        <f>_xlfn.XLOOKUP(B246,STUDIES!$A$3:$A$1063,STUDIES!$G$3:$G$1063,"Not Found!")</f>
        <v>A</v>
      </c>
      <c r="G246" s="273" t="s">
        <v>147</v>
      </c>
      <c r="H246" s="273">
        <v>16</v>
      </c>
      <c r="I246" s="273">
        <v>116</v>
      </c>
      <c r="K246" s="268">
        <v>74.900000000000006</v>
      </c>
      <c r="L246" s="268">
        <v>0.9</v>
      </c>
      <c r="Q246" s="275"/>
      <c r="R246" s="276"/>
      <c r="X246" s="276">
        <v>39.9</v>
      </c>
      <c r="Y246" s="268">
        <v>2</v>
      </c>
    </row>
    <row r="247" spans="1:47" ht="18" customHeight="1" x14ac:dyDescent="0.35">
      <c r="A247" s="274">
        <f>MATCH(B247,STUDIES!$A$3:$A$502,0)</f>
        <v>23</v>
      </c>
      <c r="B247" s="272" t="s">
        <v>869</v>
      </c>
      <c r="D247" s="317" t="s">
        <v>1084</v>
      </c>
      <c r="E247" s="272" t="s">
        <v>1163</v>
      </c>
      <c r="F247" s="155" t="str">
        <f>_xlfn.XLOOKUP(B247,STUDIES!$A$3:$A$1063,STUDIES!$G$3:$G$1063,"Not Found!")</f>
        <v>A</v>
      </c>
      <c r="G247" s="273" t="s">
        <v>147</v>
      </c>
      <c r="H247" s="273">
        <v>16</v>
      </c>
      <c r="I247" s="273">
        <v>143</v>
      </c>
      <c r="J247" s="274">
        <v>3</v>
      </c>
      <c r="Q247" s="275"/>
      <c r="R247" s="276"/>
    </row>
    <row r="248" spans="1:47" ht="18" customHeight="1" x14ac:dyDescent="0.35">
      <c r="A248" s="274">
        <f>MATCH(B248,STUDIES!$A$3:$A$502,0)</f>
        <v>23</v>
      </c>
      <c r="B248" s="272" t="s">
        <v>869</v>
      </c>
      <c r="D248" s="281" t="s">
        <v>1084</v>
      </c>
      <c r="E248" s="272" t="s">
        <v>1167</v>
      </c>
      <c r="F248" s="155" t="str">
        <f>_xlfn.XLOOKUP(B248,STUDIES!$A$3:$A$1063,STUDIES!$G$3:$G$1063,"Not Found!")</f>
        <v>A</v>
      </c>
      <c r="G248" s="273" t="s">
        <v>147</v>
      </c>
      <c r="H248" s="273">
        <v>16</v>
      </c>
      <c r="I248" s="273">
        <v>143</v>
      </c>
      <c r="J248" s="274">
        <v>3</v>
      </c>
      <c r="Q248" s="275"/>
      <c r="R248" s="276"/>
    </row>
    <row r="249" spans="1:47" ht="18" customHeight="1" x14ac:dyDescent="0.35">
      <c r="A249" s="274">
        <f>MATCH(B249,STUDIES!$A$3:$A$502,0)</f>
        <v>23</v>
      </c>
      <c r="B249" s="272" t="s">
        <v>869</v>
      </c>
      <c r="D249" s="317" t="s">
        <v>148</v>
      </c>
      <c r="E249" s="272" t="s">
        <v>151</v>
      </c>
      <c r="F249" s="155" t="str">
        <f>_xlfn.XLOOKUP(B249,STUDIES!$A$3:$A$1063,STUDIES!$G$3:$G$1063,"Not Found!")</f>
        <v>A</v>
      </c>
      <c r="G249" s="273" t="s">
        <v>147</v>
      </c>
      <c r="H249" s="273">
        <v>16</v>
      </c>
      <c r="I249" s="273">
        <v>68</v>
      </c>
      <c r="K249" s="268">
        <v>25.7</v>
      </c>
      <c r="L249" s="268">
        <v>1.4</v>
      </c>
      <c r="Q249" s="275"/>
      <c r="R249" s="276"/>
      <c r="X249" s="276">
        <v>18.3</v>
      </c>
      <c r="Y249" s="268">
        <v>1.8</v>
      </c>
    </row>
    <row r="250" spans="1:47" ht="18" customHeight="1" x14ac:dyDescent="0.35">
      <c r="A250" s="274">
        <f>MATCH(B250,STUDIES!$A$3:$A$502,0)</f>
        <v>23</v>
      </c>
      <c r="B250" s="272" t="s">
        <v>869</v>
      </c>
      <c r="D250" s="317" t="s">
        <v>148</v>
      </c>
      <c r="E250" s="272" t="s">
        <v>297</v>
      </c>
      <c r="F250" s="155" t="str">
        <f>_xlfn.XLOOKUP(B250,STUDIES!$A$3:$A$1063,STUDIES!$G$3:$G$1063,"Not Found!")</f>
        <v>A</v>
      </c>
      <c r="G250" s="273" t="s">
        <v>147</v>
      </c>
      <c r="H250" s="273">
        <v>16</v>
      </c>
      <c r="I250" s="273">
        <v>55</v>
      </c>
      <c r="K250" s="268">
        <v>75.3</v>
      </c>
      <c r="L250" s="268">
        <v>1.2</v>
      </c>
      <c r="Q250" s="275"/>
      <c r="R250" s="276"/>
      <c r="X250" s="276">
        <v>56.8</v>
      </c>
      <c r="Y250" s="268">
        <v>2.9</v>
      </c>
    </row>
    <row r="251" spans="1:47" ht="18" customHeight="1" x14ac:dyDescent="0.35">
      <c r="A251" s="274">
        <f>MATCH(B251,STUDIES!$A$3:$A$502,0)</f>
        <v>23</v>
      </c>
      <c r="B251" s="272" t="s">
        <v>869</v>
      </c>
      <c r="D251" s="281" t="s">
        <v>148</v>
      </c>
      <c r="E251" s="272" t="s">
        <v>1163</v>
      </c>
      <c r="F251" s="155" t="str">
        <f>_xlfn.XLOOKUP(B251,STUDIES!$A$3:$A$1063,STUDIES!$G$3:$G$1063,"Not Found!")</f>
        <v>A</v>
      </c>
      <c r="G251" s="273" t="s">
        <v>147</v>
      </c>
      <c r="H251" s="273">
        <v>16</v>
      </c>
      <c r="I251" s="273">
        <v>72</v>
      </c>
      <c r="J251" s="274">
        <v>2</v>
      </c>
      <c r="Q251" s="275"/>
      <c r="R251" s="276"/>
    </row>
    <row r="252" spans="1:47" ht="18" customHeight="1" x14ac:dyDescent="0.35">
      <c r="A252" s="274">
        <f>MATCH(B252,STUDIES!$A$3:$A$502,0)</f>
        <v>23</v>
      </c>
      <c r="B252" s="272" t="s">
        <v>869</v>
      </c>
      <c r="D252" s="281" t="s">
        <v>148</v>
      </c>
      <c r="E252" s="272" t="s">
        <v>1167</v>
      </c>
      <c r="F252" s="155" t="str">
        <f>_xlfn.XLOOKUP(B252,STUDIES!$A$3:$A$1063,STUDIES!$G$3:$G$1063,"Not Found!")</f>
        <v>A</v>
      </c>
      <c r="G252" s="273" t="s">
        <v>147</v>
      </c>
      <c r="H252" s="273">
        <v>16</v>
      </c>
      <c r="I252" s="273">
        <v>72</v>
      </c>
      <c r="J252" s="274">
        <v>0</v>
      </c>
      <c r="Q252" s="275"/>
      <c r="R252" s="276"/>
    </row>
    <row r="253" spans="1:47" ht="18" customHeight="1" x14ac:dyDescent="0.35">
      <c r="A253" s="274">
        <f>MATCH(B253,STUDIES!$A$3:$A$502,0)</f>
        <v>24</v>
      </c>
      <c r="B253" s="270" t="s">
        <v>349</v>
      </c>
      <c r="C253" s="459"/>
      <c r="D253" s="278" t="s">
        <v>148</v>
      </c>
      <c r="E253" s="256" t="s">
        <v>154</v>
      </c>
      <c r="F253" s="155" t="str">
        <f>_xlfn.XLOOKUP(B253,STUDIES!$A$3:$A$1063,STUDIES!$G$3:$G$1063,"Not Found!")</f>
        <v>A</v>
      </c>
      <c r="G253" s="257" t="s">
        <v>147</v>
      </c>
      <c r="H253" s="257">
        <v>16</v>
      </c>
      <c r="I253" s="286">
        <v>16</v>
      </c>
      <c r="J253" s="258"/>
      <c r="K253" s="318">
        <v>17.211600000000001</v>
      </c>
      <c r="L253" s="318">
        <v>2.1981999999999999</v>
      </c>
      <c r="M253" s="259"/>
      <c r="N253" s="259"/>
      <c r="O253" s="259"/>
      <c r="P253" s="259"/>
      <c r="Q253" s="271" t="s">
        <v>150</v>
      </c>
      <c r="R253" s="264"/>
      <c r="S253" s="259"/>
      <c r="T253" s="259"/>
      <c r="U253" s="259"/>
      <c r="V253" s="259"/>
      <c r="W253" s="259"/>
      <c r="X253" s="264">
        <v>11.197949999999999</v>
      </c>
      <c r="Y253" s="259">
        <v>2.1826000000000008</v>
      </c>
      <c r="Z253" s="259"/>
      <c r="AA253" s="259"/>
      <c r="AB253" s="259"/>
      <c r="AC253" s="259"/>
      <c r="AD253" s="264"/>
      <c r="AE253" s="259"/>
      <c r="AF253" s="259"/>
      <c r="AG253" s="259"/>
      <c r="AH253" s="259"/>
      <c r="AI253" s="259"/>
      <c r="AJ253" s="265"/>
      <c r="AK253" s="266"/>
      <c r="AL253" s="266"/>
      <c r="AM253" s="266"/>
      <c r="AN253" s="266"/>
      <c r="AO253" s="267"/>
      <c r="AP253" s="266"/>
      <c r="AQ253" s="266"/>
      <c r="AR253" s="266"/>
      <c r="AS253" s="266"/>
      <c r="AT253" s="266"/>
      <c r="AU253" s="267"/>
    </row>
    <row r="254" spans="1:47" ht="18" customHeight="1" x14ac:dyDescent="0.35">
      <c r="A254" s="274">
        <f>MATCH(B254,STUDIES!$A$3:$A$502,0)</f>
        <v>24</v>
      </c>
      <c r="B254" s="270" t="s">
        <v>349</v>
      </c>
      <c r="C254" s="459"/>
      <c r="D254" s="278" t="s">
        <v>1102</v>
      </c>
      <c r="E254" s="256" t="s">
        <v>154</v>
      </c>
      <c r="F254" s="155" t="str">
        <f>_xlfn.XLOOKUP(B254,STUDIES!$A$3:$A$1063,STUDIES!$G$3:$G$1063,"Not Found!")</f>
        <v>A</v>
      </c>
      <c r="G254" s="257" t="s">
        <v>147</v>
      </c>
      <c r="H254" s="257">
        <v>16</v>
      </c>
      <c r="I254" s="286">
        <v>16</v>
      </c>
      <c r="J254" s="258"/>
      <c r="K254" s="318">
        <v>16.401800000000001</v>
      </c>
      <c r="L254" s="318">
        <v>2.128400000000001</v>
      </c>
      <c r="M254" s="259"/>
      <c r="N254" s="259"/>
      <c r="O254" s="259"/>
      <c r="P254" s="259"/>
      <c r="Q254" s="271" t="s">
        <v>150</v>
      </c>
      <c r="R254" s="264"/>
      <c r="S254" s="259"/>
      <c r="T254" s="259"/>
      <c r="U254" s="259"/>
      <c r="V254" s="259"/>
      <c r="W254" s="259"/>
      <c r="X254" s="264">
        <v>11.9247</v>
      </c>
      <c r="Y254" s="259">
        <v>2.2110000000000003</v>
      </c>
      <c r="Z254" s="259"/>
      <c r="AA254" s="259"/>
      <c r="AB254" s="259"/>
      <c r="AC254" s="259"/>
      <c r="AD254" s="264"/>
      <c r="AE254" s="259"/>
      <c r="AF254" s="259"/>
      <c r="AG254" s="259"/>
      <c r="AH254" s="259"/>
      <c r="AI254" s="259"/>
      <c r="AJ254" s="265"/>
      <c r="AK254" s="266"/>
      <c r="AL254" s="266"/>
      <c r="AM254" s="266"/>
      <c r="AN254" s="266"/>
      <c r="AO254" s="267"/>
      <c r="AP254" s="266"/>
      <c r="AQ254" s="266"/>
      <c r="AR254" s="266"/>
      <c r="AS254" s="266"/>
      <c r="AT254" s="266"/>
      <c r="AU254" s="267"/>
    </row>
    <row r="255" spans="1:47" ht="18" customHeight="1" x14ac:dyDescent="0.35">
      <c r="A255" s="274">
        <f>MATCH(B255,STUDIES!$A$3:$A$502,0)</f>
        <v>24</v>
      </c>
      <c r="B255" s="272" t="s">
        <v>349</v>
      </c>
      <c r="D255" s="278" t="s">
        <v>1102</v>
      </c>
      <c r="E255" s="272" t="s">
        <v>1163</v>
      </c>
      <c r="F255" s="155" t="str">
        <f>_xlfn.XLOOKUP(B255,STUDIES!$A$3:$A$1063,STUDIES!$G$3:$G$1063,"Not Found!")</f>
        <v>A</v>
      </c>
      <c r="G255" s="273" t="s">
        <v>147</v>
      </c>
      <c r="H255" s="273">
        <v>16</v>
      </c>
      <c r="I255" s="273">
        <v>16</v>
      </c>
      <c r="J255" s="274">
        <v>0</v>
      </c>
      <c r="M255" s="276"/>
      <c r="Q255" s="275"/>
      <c r="R255" s="276"/>
    </row>
    <row r="256" spans="1:47" ht="18" customHeight="1" x14ac:dyDescent="0.35">
      <c r="A256" s="274">
        <f>MATCH(B256,STUDIES!$A$3:$A$502,0)</f>
        <v>24</v>
      </c>
      <c r="B256" s="272" t="s">
        <v>349</v>
      </c>
      <c r="D256" s="281" t="s">
        <v>1102</v>
      </c>
      <c r="E256" s="272" t="s">
        <v>1167</v>
      </c>
      <c r="F256" s="155" t="str">
        <f>_xlfn.XLOOKUP(B256,STUDIES!$A$3:$A$1063,STUDIES!$G$3:$G$1063,"Not Found!")</f>
        <v>A</v>
      </c>
      <c r="G256" s="273" t="s">
        <v>147</v>
      </c>
      <c r="H256" s="273">
        <v>16</v>
      </c>
      <c r="I256" s="273">
        <v>16</v>
      </c>
      <c r="J256" s="274">
        <v>0</v>
      </c>
      <c r="M256" s="276"/>
      <c r="Q256" s="275"/>
      <c r="R256" s="276"/>
    </row>
    <row r="257" spans="1:48" ht="18" customHeight="1" x14ac:dyDescent="0.35">
      <c r="A257" s="274">
        <f>MATCH(B257,STUDIES!$A$3:$A$502,0)</f>
        <v>24</v>
      </c>
      <c r="B257" s="272" t="s">
        <v>349</v>
      </c>
      <c r="D257" s="281" t="s">
        <v>148</v>
      </c>
      <c r="E257" s="272" t="s">
        <v>1163</v>
      </c>
      <c r="F257" s="155" t="str">
        <f>_xlfn.XLOOKUP(B257,STUDIES!$A$3:$A$1063,STUDIES!$G$3:$G$1063,"Not Found!")</f>
        <v>A</v>
      </c>
      <c r="G257" s="273" t="s">
        <v>147</v>
      </c>
      <c r="H257" s="273">
        <v>16</v>
      </c>
      <c r="I257" s="273">
        <v>16</v>
      </c>
      <c r="J257" s="274">
        <v>0</v>
      </c>
      <c r="M257" s="276"/>
      <c r="Q257" s="275"/>
      <c r="R257" s="276"/>
    </row>
    <row r="258" spans="1:48" ht="18" customHeight="1" x14ac:dyDescent="0.35">
      <c r="A258" s="274">
        <f>MATCH(B258,STUDIES!$A$3:$A$502,0)</f>
        <v>24</v>
      </c>
      <c r="B258" s="272" t="s">
        <v>349</v>
      </c>
      <c r="D258" s="281" t="s">
        <v>148</v>
      </c>
      <c r="E258" s="272" t="s">
        <v>1167</v>
      </c>
      <c r="F258" s="155" t="str">
        <f>_xlfn.XLOOKUP(B258,STUDIES!$A$3:$A$1063,STUDIES!$G$3:$G$1063,"Not Found!")</f>
        <v>A</v>
      </c>
      <c r="G258" s="273" t="s">
        <v>147</v>
      </c>
      <c r="H258" s="273">
        <v>16</v>
      </c>
      <c r="I258" s="273">
        <v>16</v>
      </c>
      <c r="J258" s="274">
        <v>0</v>
      </c>
      <c r="M258" s="276"/>
      <c r="Q258" s="275"/>
      <c r="R258" s="276"/>
    </row>
    <row r="259" spans="1:48" ht="18" customHeight="1" x14ac:dyDescent="0.35">
      <c r="A259" s="274">
        <f>MATCH(B259,STUDIES!$A$3:$A$502,0)</f>
        <v>25</v>
      </c>
      <c r="B259" s="256" t="s">
        <v>585</v>
      </c>
      <c r="C259" s="458"/>
      <c r="D259" s="278" t="s">
        <v>1041</v>
      </c>
      <c r="E259" s="256" t="s">
        <v>154</v>
      </c>
      <c r="F259" s="155" t="str">
        <f>_xlfn.XLOOKUP(B259,STUDIES!$A$3:$A$1063,STUDIES!$G$3:$G$1063,"Not Found!")</f>
        <v>A</v>
      </c>
      <c r="G259" s="257" t="s">
        <v>147</v>
      </c>
      <c r="H259" s="257">
        <v>12</v>
      </c>
      <c r="I259" s="257">
        <v>41</v>
      </c>
      <c r="J259" s="258"/>
      <c r="K259" s="259"/>
      <c r="L259" s="259"/>
      <c r="M259" s="264"/>
      <c r="N259" s="259"/>
      <c r="O259" s="259"/>
      <c r="P259" s="259"/>
      <c r="Q259" s="271" t="s">
        <v>90</v>
      </c>
      <c r="R259" s="264">
        <v>-5.9</v>
      </c>
      <c r="S259" s="259"/>
      <c r="T259" s="259"/>
      <c r="U259" s="259"/>
      <c r="V259" s="259"/>
      <c r="W259" s="259"/>
      <c r="X259" s="264"/>
      <c r="Y259" s="259"/>
      <c r="Z259" s="259"/>
      <c r="AA259" s="259"/>
      <c r="AB259" s="259"/>
      <c r="AC259" s="259"/>
      <c r="AD259" s="264">
        <v>3.5</v>
      </c>
      <c r="AE259" s="260"/>
      <c r="AF259" s="260"/>
      <c r="AG259" s="260">
        <v>0.3</v>
      </c>
      <c r="AH259" s="260">
        <v>6.7</v>
      </c>
      <c r="AI259" s="268">
        <v>0.95</v>
      </c>
      <c r="AJ259" s="265"/>
      <c r="AK259" s="266"/>
      <c r="AL259" s="266"/>
      <c r="AM259" s="266"/>
      <c r="AN259" s="266"/>
      <c r="AO259" s="267"/>
      <c r="AP259" s="266"/>
      <c r="AQ259" s="266"/>
      <c r="AR259" s="266"/>
      <c r="AS259" s="266"/>
      <c r="AT259" s="266"/>
      <c r="AU259" s="267"/>
      <c r="AV259" s="268" t="s">
        <v>937</v>
      </c>
    </row>
    <row r="260" spans="1:48" ht="18" customHeight="1" x14ac:dyDescent="0.35">
      <c r="A260" s="274">
        <f>MATCH(B260,STUDIES!$A$3:$A$502,0)</f>
        <v>25</v>
      </c>
      <c r="B260" s="272" t="s">
        <v>585</v>
      </c>
      <c r="D260" s="278" t="s">
        <v>1041</v>
      </c>
      <c r="E260" s="272" t="s">
        <v>1163</v>
      </c>
      <c r="F260" s="155" t="str">
        <f>_xlfn.XLOOKUP(B260,STUDIES!$A$3:$A$1063,STUDIES!$G$3:$G$1063,"Not Found!")</f>
        <v>A</v>
      </c>
      <c r="G260" s="273" t="s">
        <v>147</v>
      </c>
      <c r="H260" s="273">
        <v>12</v>
      </c>
      <c r="I260" s="273">
        <v>41</v>
      </c>
      <c r="J260" s="274">
        <v>4</v>
      </c>
      <c r="M260" s="276"/>
      <c r="Q260" s="275"/>
      <c r="R260" s="276"/>
    </row>
    <row r="261" spans="1:48" ht="18" customHeight="1" x14ac:dyDescent="0.35">
      <c r="A261" s="274">
        <f>MATCH(B261,STUDIES!$A$3:$A$502,0)</f>
        <v>25</v>
      </c>
      <c r="B261" s="270" t="s">
        <v>585</v>
      </c>
      <c r="C261" s="459"/>
      <c r="D261" s="278" t="s">
        <v>1041</v>
      </c>
      <c r="E261" s="256" t="s">
        <v>146</v>
      </c>
      <c r="F261" s="155" t="str">
        <f>_xlfn.XLOOKUP(B261,STUDIES!$A$3:$A$1063,STUDIES!$G$3:$G$1063,"Not Found!")</f>
        <v>A</v>
      </c>
      <c r="G261" s="257" t="s">
        <v>147</v>
      </c>
      <c r="H261" s="257">
        <v>12</v>
      </c>
      <c r="I261" s="257">
        <v>41</v>
      </c>
      <c r="J261" s="258"/>
      <c r="K261" s="259"/>
      <c r="L261" s="259"/>
      <c r="M261" s="264"/>
      <c r="N261" s="259"/>
      <c r="O261" s="259"/>
      <c r="P261" s="259"/>
      <c r="Q261" s="271" t="s">
        <v>90</v>
      </c>
      <c r="R261" s="264">
        <v>-12</v>
      </c>
      <c r="S261" s="259"/>
      <c r="T261" s="259"/>
      <c r="U261" s="259"/>
      <c r="V261" s="259"/>
      <c r="W261" s="259"/>
      <c r="X261" s="264"/>
      <c r="Y261" s="259"/>
      <c r="Z261" s="259"/>
      <c r="AA261" s="259"/>
      <c r="AB261" s="259"/>
      <c r="AC261" s="259"/>
      <c r="AD261" s="264">
        <v>5.4</v>
      </c>
      <c r="AE261" s="260"/>
      <c r="AF261" s="260"/>
      <c r="AG261" s="260">
        <v>1.4</v>
      </c>
      <c r="AH261" s="260">
        <v>9.3000000000000007</v>
      </c>
      <c r="AI261" s="268">
        <v>0.95</v>
      </c>
      <c r="AJ261" s="265"/>
      <c r="AK261" s="266"/>
      <c r="AL261" s="266"/>
      <c r="AM261" s="266"/>
      <c r="AN261" s="266"/>
      <c r="AO261" s="267"/>
      <c r="AP261" s="266"/>
      <c r="AQ261" s="266"/>
      <c r="AR261" s="266"/>
      <c r="AS261" s="266"/>
      <c r="AT261" s="266"/>
      <c r="AU261" s="267"/>
      <c r="AV261" s="268" t="s">
        <v>937</v>
      </c>
    </row>
    <row r="262" spans="1:48" ht="18" customHeight="1" x14ac:dyDescent="0.35">
      <c r="A262" s="274">
        <f>MATCH(B262,STUDIES!$A$3:$A$502,0)</f>
        <v>25</v>
      </c>
      <c r="B262" s="256" t="s">
        <v>585</v>
      </c>
      <c r="C262" s="458"/>
      <c r="D262" s="278" t="s">
        <v>1041</v>
      </c>
      <c r="E262" s="256" t="s">
        <v>156</v>
      </c>
      <c r="F262" s="155" t="str">
        <f>_xlfn.XLOOKUP(B262,STUDIES!$A$3:$A$1063,STUDIES!$G$3:$G$1063,"Not Found!")</f>
        <v>A</v>
      </c>
      <c r="G262" s="257" t="s">
        <v>147</v>
      </c>
      <c r="H262" s="257">
        <v>12</v>
      </c>
      <c r="I262" s="257">
        <v>41</v>
      </c>
      <c r="J262" s="258"/>
      <c r="K262" s="259"/>
      <c r="L262" s="259"/>
      <c r="M262" s="264"/>
      <c r="N262" s="259"/>
      <c r="O262" s="259"/>
      <c r="P262" s="259"/>
      <c r="Q262" s="271" t="s">
        <v>90</v>
      </c>
      <c r="R262" s="264">
        <v>-2.4</v>
      </c>
      <c r="S262" s="259"/>
      <c r="T262" s="259"/>
      <c r="U262" s="259"/>
      <c r="V262" s="259"/>
      <c r="W262" s="259"/>
      <c r="X262" s="264"/>
      <c r="Y262" s="259"/>
      <c r="Z262" s="259"/>
      <c r="AA262" s="259"/>
      <c r="AB262" s="259"/>
      <c r="AC262" s="259"/>
      <c r="AD262" s="264">
        <v>1.4</v>
      </c>
      <c r="AE262" s="260"/>
      <c r="AF262" s="260"/>
      <c r="AG262" s="260">
        <v>0.1</v>
      </c>
      <c r="AH262" s="260">
        <v>2.7</v>
      </c>
      <c r="AI262" s="268">
        <v>0.95</v>
      </c>
      <c r="AJ262" s="265"/>
      <c r="AK262" s="266"/>
      <c r="AL262" s="266"/>
      <c r="AM262" s="266"/>
      <c r="AN262" s="266"/>
      <c r="AO262" s="267"/>
      <c r="AP262" s="266"/>
      <c r="AQ262" s="266"/>
      <c r="AR262" s="266"/>
      <c r="AS262" s="266"/>
      <c r="AT262" s="266"/>
      <c r="AU262" s="267"/>
      <c r="AV262" s="268" t="s">
        <v>937</v>
      </c>
    </row>
    <row r="263" spans="1:48" ht="18" customHeight="1" x14ac:dyDescent="0.35">
      <c r="A263" s="274">
        <f>MATCH(B263,STUDIES!$A$3:$A$502,0)</f>
        <v>25</v>
      </c>
      <c r="B263" s="272" t="s">
        <v>585</v>
      </c>
      <c r="D263" s="281" t="s">
        <v>1041</v>
      </c>
      <c r="E263" s="272" t="s">
        <v>1167</v>
      </c>
      <c r="F263" s="155" t="str">
        <f>_xlfn.XLOOKUP(B263,STUDIES!$A$3:$A$1063,STUDIES!$G$3:$G$1063,"Not Found!")</f>
        <v>A</v>
      </c>
      <c r="G263" s="273" t="s">
        <v>147</v>
      </c>
      <c r="H263" s="273">
        <v>12</v>
      </c>
      <c r="I263" s="273">
        <v>41</v>
      </c>
      <c r="J263" s="274">
        <v>6</v>
      </c>
      <c r="M263" s="276"/>
      <c r="Q263" s="275"/>
      <c r="R263" s="276"/>
    </row>
    <row r="264" spans="1:48" ht="18" customHeight="1" x14ac:dyDescent="0.35">
      <c r="A264" s="274">
        <f>MATCH(B264,STUDIES!$A$3:$A$502,0)</f>
        <v>25</v>
      </c>
      <c r="B264" s="256" t="s">
        <v>585</v>
      </c>
      <c r="C264" s="458"/>
      <c r="D264" s="278" t="s">
        <v>148</v>
      </c>
      <c r="E264" s="256" t="s">
        <v>154</v>
      </c>
      <c r="F264" s="155" t="str">
        <f>_xlfn.XLOOKUP(B264,STUDIES!$A$3:$A$1063,STUDIES!$G$3:$G$1063,"Not Found!")</f>
        <v>A</v>
      </c>
      <c r="G264" s="257" t="s">
        <v>147</v>
      </c>
      <c r="H264" s="257">
        <v>12</v>
      </c>
      <c r="I264" s="257">
        <v>20</v>
      </c>
      <c r="J264" s="258"/>
      <c r="K264" s="259"/>
      <c r="L264" s="259"/>
      <c r="M264" s="264"/>
      <c r="N264" s="259"/>
      <c r="O264" s="259"/>
      <c r="P264" s="259"/>
      <c r="Q264" s="271" t="s">
        <v>90</v>
      </c>
      <c r="R264" s="264">
        <v>-2.4</v>
      </c>
      <c r="S264" s="259"/>
      <c r="T264" s="259"/>
      <c r="U264" s="259"/>
      <c r="V264" s="259"/>
      <c r="W264" s="259"/>
      <c r="X264" s="264"/>
      <c r="Y264" s="259"/>
      <c r="Z264" s="259"/>
      <c r="AA264" s="259"/>
      <c r="AB264" s="259"/>
      <c r="AC264" s="259"/>
      <c r="AD264" s="264">
        <v>3.5</v>
      </c>
      <c r="AE264" s="260"/>
      <c r="AF264" s="260"/>
      <c r="AG264" s="260">
        <v>0.3</v>
      </c>
      <c r="AH264" s="260">
        <v>6.7</v>
      </c>
      <c r="AI264" s="268">
        <v>0.95</v>
      </c>
      <c r="AJ264" s="265"/>
      <c r="AK264" s="266"/>
      <c r="AL264" s="266"/>
      <c r="AM264" s="266"/>
      <c r="AN264" s="266"/>
      <c r="AO264" s="267"/>
      <c r="AP264" s="266"/>
      <c r="AQ264" s="266"/>
      <c r="AR264" s="266"/>
      <c r="AS264" s="266"/>
      <c r="AT264" s="266"/>
      <c r="AU264" s="267"/>
      <c r="AV264" s="268" t="s">
        <v>937</v>
      </c>
    </row>
    <row r="265" spans="1:48" ht="18" customHeight="1" x14ac:dyDescent="0.35">
      <c r="A265" s="274">
        <f>MATCH(B265,STUDIES!$A$3:$A$502,0)</f>
        <v>25</v>
      </c>
      <c r="B265" s="270" t="s">
        <v>585</v>
      </c>
      <c r="C265" s="459"/>
      <c r="D265" s="278" t="s">
        <v>148</v>
      </c>
      <c r="E265" s="256" t="s">
        <v>146</v>
      </c>
      <c r="F265" s="155" t="str">
        <f>_xlfn.XLOOKUP(B265,STUDIES!$A$3:$A$1063,STUDIES!$G$3:$G$1063,"Not Found!")</f>
        <v>A</v>
      </c>
      <c r="G265" s="257" t="s">
        <v>147</v>
      </c>
      <c r="H265" s="257">
        <v>12</v>
      </c>
      <c r="I265" s="257">
        <v>20</v>
      </c>
      <c r="J265" s="258"/>
      <c r="K265" s="259"/>
      <c r="L265" s="259"/>
      <c r="M265" s="264"/>
      <c r="N265" s="259"/>
      <c r="O265" s="259"/>
      <c r="P265" s="259"/>
      <c r="Q265" s="271" t="s">
        <v>90</v>
      </c>
      <c r="R265" s="264">
        <v>-6.6</v>
      </c>
      <c r="S265" s="259"/>
      <c r="T265" s="259"/>
      <c r="U265" s="259"/>
      <c r="V265" s="259"/>
      <c r="W265" s="259"/>
      <c r="X265" s="264"/>
      <c r="Y265" s="259"/>
      <c r="Z265" s="259"/>
      <c r="AA265" s="259"/>
      <c r="AB265" s="259"/>
      <c r="AC265" s="259"/>
      <c r="AD265" s="264">
        <v>5.4</v>
      </c>
      <c r="AE265" s="260"/>
      <c r="AF265" s="260"/>
      <c r="AG265" s="260">
        <v>1.4</v>
      </c>
      <c r="AH265" s="260">
        <v>9.3000000000000007</v>
      </c>
      <c r="AI265" s="268">
        <v>0.95</v>
      </c>
      <c r="AJ265" s="265"/>
      <c r="AK265" s="266"/>
      <c r="AL265" s="266"/>
      <c r="AM265" s="266"/>
      <c r="AN265" s="266"/>
      <c r="AO265" s="267"/>
      <c r="AP265" s="266"/>
      <c r="AQ265" s="266"/>
      <c r="AR265" s="266"/>
      <c r="AS265" s="266"/>
      <c r="AT265" s="266"/>
      <c r="AU265" s="267"/>
      <c r="AV265" s="268" t="s">
        <v>937</v>
      </c>
    </row>
    <row r="266" spans="1:48" ht="18" customHeight="1" x14ac:dyDescent="0.35">
      <c r="A266" s="274">
        <f>MATCH(B266,STUDIES!$A$3:$A$502,0)</f>
        <v>25</v>
      </c>
      <c r="B266" s="256" t="s">
        <v>585</v>
      </c>
      <c r="C266" s="458"/>
      <c r="D266" s="278" t="s">
        <v>148</v>
      </c>
      <c r="E266" s="256" t="s">
        <v>156</v>
      </c>
      <c r="F266" s="155" t="str">
        <f>_xlfn.XLOOKUP(B266,STUDIES!$A$3:$A$1063,STUDIES!$G$3:$G$1063,"Not Found!")</f>
        <v>A</v>
      </c>
      <c r="G266" s="257" t="s">
        <v>147</v>
      </c>
      <c r="H266" s="257">
        <v>12</v>
      </c>
      <c r="I266" s="257">
        <v>20</v>
      </c>
      <c r="J266" s="258"/>
      <c r="K266" s="259"/>
      <c r="L266" s="259"/>
      <c r="M266" s="264"/>
      <c r="N266" s="259"/>
      <c r="O266" s="259"/>
      <c r="P266" s="259"/>
      <c r="Q266" s="271" t="s">
        <v>90</v>
      </c>
      <c r="R266" s="264">
        <v>-1</v>
      </c>
      <c r="S266" s="259"/>
      <c r="T266" s="259"/>
      <c r="U266" s="259"/>
      <c r="V266" s="259"/>
      <c r="W266" s="259"/>
      <c r="X266" s="264"/>
      <c r="Y266" s="259"/>
      <c r="Z266" s="259"/>
      <c r="AA266" s="259"/>
      <c r="AB266" s="259"/>
      <c r="AC266" s="259"/>
      <c r="AD266" s="264">
        <v>1.4</v>
      </c>
      <c r="AE266" s="260"/>
      <c r="AF266" s="260"/>
      <c r="AG266" s="260">
        <v>0.1</v>
      </c>
      <c r="AH266" s="260">
        <v>2.7</v>
      </c>
      <c r="AI266" s="268">
        <v>0.95</v>
      </c>
      <c r="AJ266" s="265"/>
      <c r="AK266" s="266"/>
      <c r="AL266" s="266"/>
      <c r="AM266" s="266"/>
      <c r="AN266" s="266"/>
      <c r="AO266" s="267"/>
      <c r="AP266" s="266"/>
      <c r="AQ266" s="266"/>
      <c r="AR266" s="266"/>
      <c r="AS266" s="266"/>
      <c r="AT266" s="266"/>
      <c r="AU266" s="267"/>
      <c r="AV266" s="268" t="s">
        <v>937</v>
      </c>
    </row>
    <row r="267" spans="1:48" ht="18" customHeight="1" x14ac:dyDescent="0.35">
      <c r="A267" s="274">
        <f>MATCH(B267,STUDIES!$A$3:$A$502,0)</f>
        <v>25</v>
      </c>
      <c r="B267" s="272" t="s">
        <v>585</v>
      </c>
      <c r="D267" s="281" t="s">
        <v>148</v>
      </c>
      <c r="E267" s="272" t="s">
        <v>1163</v>
      </c>
      <c r="F267" s="155" t="str">
        <f>_xlfn.XLOOKUP(B267,STUDIES!$A$3:$A$1063,STUDIES!$G$3:$G$1063,"Not Found!")</f>
        <v>A</v>
      </c>
      <c r="G267" s="273" t="s">
        <v>147</v>
      </c>
      <c r="H267" s="273">
        <v>12</v>
      </c>
      <c r="I267" s="273">
        <v>20</v>
      </c>
      <c r="J267" s="274">
        <v>0</v>
      </c>
      <c r="M267" s="276"/>
      <c r="Q267" s="275"/>
      <c r="R267" s="276"/>
    </row>
    <row r="268" spans="1:48" ht="18" customHeight="1" x14ac:dyDescent="0.35">
      <c r="A268" s="274">
        <f>MATCH(B268,STUDIES!$A$3:$A$502,0)</f>
        <v>25</v>
      </c>
      <c r="B268" s="272" t="s">
        <v>585</v>
      </c>
      <c r="D268" s="281" t="s">
        <v>148</v>
      </c>
      <c r="E268" s="272" t="s">
        <v>1167</v>
      </c>
      <c r="F268" s="155" t="str">
        <f>_xlfn.XLOOKUP(B268,STUDIES!$A$3:$A$1063,STUDIES!$G$3:$G$1063,"Not Found!")</f>
        <v>A</v>
      </c>
      <c r="G268" s="273" t="s">
        <v>147</v>
      </c>
      <c r="H268" s="273">
        <v>12</v>
      </c>
      <c r="I268" s="273">
        <v>20</v>
      </c>
      <c r="J268" s="274">
        <v>1</v>
      </c>
      <c r="M268" s="276"/>
      <c r="Q268" s="275"/>
      <c r="R268" s="276"/>
    </row>
    <row r="269" spans="1:48" ht="18" customHeight="1" x14ac:dyDescent="0.35">
      <c r="A269" s="274">
        <f>MATCH(B269,STUDIES!$A$3:$A$502,0)</f>
        <v>26</v>
      </c>
      <c r="B269" s="272" t="s">
        <v>312</v>
      </c>
      <c r="D269" s="281" t="s">
        <v>1048</v>
      </c>
      <c r="E269" s="272" t="s">
        <v>1167</v>
      </c>
      <c r="F269" s="155" t="str">
        <f>_xlfn.XLOOKUP(B269,STUDIES!$A$3:$A$1063,STUDIES!$G$3:$G$1063,"Not Found!")</f>
        <v>A</v>
      </c>
      <c r="G269" s="273" t="s">
        <v>147</v>
      </c>
      <c r="H269" s="273">
        <v>8</v>
      </c>
      <c r="I269" s="273">
        <v>9</v>
      </c>
      <c r="J269" s="274">
        <v>0</v>
      </c>
      <c r="M269" s="276"/>
      <c r="Q269" s="275"/>
      <c r="R269" s="276"/>
    </row>
    <row r="270" spans="1:48" ht="18" customHeight="1" x14ac:dyDescent="0.35">
      <c r="A270" s="274">
        <f>MATCH(B270,STUDIES!$A$3:$A$502,0)</f>
        <v>26</v>
      </c>
      <c r="B270" s="272" t="s">
        <v>312</v>
      </c>
      <c r="D270" s="281" t="s">
        <v>148</v>
      </c>
      <c r="E270" s="272" t="s">
        <v>1167</v>
      </c>
      <c r="F270" s="155" t="str">
        <f>_xlfn.XLOOKUP(B270,STUDIES!$A$3:$A$1063,STUDIES!$G$3:$G$1063,"Not Found!")</f>
        <v>A</v>
      </c>
      <c r="G270" s="273" t="s">
        <v>147</v>
      </c>
      <c r="H270" s="273">
        <v>8</v>
      </c>
      <c r="I270" s="273">
        <v>10</v>
      </c>
      <c r="J270" s="274">
        <v>0</v>
      </c>
      <c r="M270" s="276"/>
      <c r="Q270" s="275"/>
      <c r="R270" s="276"/>
    </row>
    <row r="271" spans="1:48" ht="18" customHeight="1" x14ac:dyDescent="0.35">
      <c r="A271" s="274">
        <f>MATCH(B271,STUDIES!$A$3:$A$502,0)</f>
        <v>26</v>
      </c>
      <c r="B271" s="272" t="s">
        <v>312</v>
      </c>
      <c r="D271" s="281" t="s">
        <v>1048</v>
      </c>
      <c r="E271" s="272" t="s">
        <v>156</v>
      </c>
      <c r="F271" s="155" t="str">
        <f>_xlfn.XLOOKUP(B271,STUDIES!$A$3:$A$1063,STUDIES!$G$3:$G$1063,"Not Found!")</f>
        <v>A</v>
      </c>
      <c r="G271" s="273" t="s">
        <v>147</v>
      </c>
      <c r="H271" s="273">
        <v>8</v>
      </c>
      <c r="I271" s="273">
        <v>12</v>
      </c>
      <c r="K271" s="268">
        <v>5.5164999999999997</v>
      </c>
      <c r="L271" s="268">
        <v>0.66344999999999965</v>
      </c>
      <c r="M271" s="276"/>
      <c r="Q271" s="275"/>
      <c r="R271" s="276"/>
      <c r="X271" s="276">
        <v>2.12005</v>
      </c>
      <c r="Y271" s="268">
        <v>0.79609999999999992</v>
      </c>
    </row>
    <row r="272" spans="1:48" ht="18" customHeight="1" x14ac:dyDescent="0.35">
      <c r="A272" s="274">
        <f>MATCH(B272,STUDIES!$A$3:$A$502,0)</f>
        <v>26</v>
      </c>
      <c r="B272" s="272" t="s">
        <v>312</v>
      </c>
      <c r="D272" s="281" t="s">
        <v>148</v>
      </c>
      <c r="E272" s="272" t="s">
        <v>156</v>
      </c>
      <c r="F272" s="155" t="str">
        <f>_xlfn.XLOOKUP(B272,STUDIES!$A$3:$A$1063,STUDIES!$G$3:$G$1063,"Not Found!")</f>
        <v>A</v>
      </c>
      <c r="G272" s="273" t="s">
        <v>147</v>
      </c>
      <c r="H272" s="273">
        <v>8</v>
      </c>
      <c r="I272" s="273">
        <v>12</v>
      </c>
      <c r="K272" s="268">
        <v>5.8449</v>
      </c>
      <c r="L272" s="268">
        <v>0.58860000000000001</v>
      </c>
      <c r="M272" s="276"/>
      <c r="Q272" s="275"/>
      <c r="R272" s="276"/>
      <c r="X272" s="276">
        <v>4.3257499999999993</v>
      </c>
      <c r="Y272" s="268">
        <v>0.60035000000000061</v>
      </c>
    </row>
    <row r="273" spans="1:47" ht="18" customHeight="1" x14ac:dyDescent="0.35">
      <c r="A273" s="274">
        <f>MATCH(B273,STUDIES!$A$3:$A$502,0)</f>
        <v>27</v>
      </c>
      <c r="B273" s="270" t="s">
        <v>442</v>
      </c>
      <c r="C273" s="459"/>
      <c r="D273" s="278" t="s">
        <v>1091</v>
      </c>
      <c r="E273" s="256" t="s">
        <v>151</v>
      </c>
      <c r="F273" s="155" t="str">
        <f>_xlfn.XLOOKUP(B273,STUDIES!$A$3:$A$1063,STUDIES!$G$3:$G$1063,"Not Found!")</f>
        <v>A</v>
      </c>
      <c r="G273" s="257" t="s">
        <v>147</v>
      </c>
      <c r="H273" s="257">
        <v>12</v>
      </c>
      <c r="I273" s="257">
        <v>76</v>
      </c>
      <c r="J273" s="258"/>
      <c r="K273" s="259"/>
      <c r="L273" s="259"/>
      <c r="M273" s="264"/>
      <c r="N273" s="259"/>
      <c r="O273" s="259"/>
      <c r="P273" s="259"/>
      <c r="Q273" s="271" t="s">
        <v>90</v>
      </c>
      <c r="R273" s="264">
        <v>-8.65</v>
      </c>
      <c r="S273" s="259">
        <v>0.01</v>
      </c>
      <c r="T273" s="259"/>
      <c r="U273" s="259"/>
      <c r="V273" s="259"/>
      <c r="W273" s="259"/>
      <c r="X273" s="264"/>
      <c r="Y273" s="259"/>
      <c r="Z273" s="259"/>
      <c r="AA273" s="259"/>
      <c r="AB273" s="259"/>
      <c r="AC273" s="259"/>
      <c r="AD273" s="264"/>
      <c r="AE273" s="259"/>
      <c r="AF273" s="259"/>
      <c r="AG273" s="259"/>
      <c r="AH273" s="259"/>
      <c r="AI273" s="259"/>
      <c r="AJ273" s="265"/>
      <c r="AK273" s="266"/>
      <c r="AL273" s="266"/>
      <c r="AM273" s="266"/>
      <c r="AN273" s="266"/>
      <c r="AO273" s="267"/>
      <c r="AP273" s="266"/>
      <c r="AQ273" s="266"/>
      <c r="AR273" s="266"/>
      <c r="AS273" s="266"/>
      <c r="AT273" s="266"/>
      <c r="AU273" s="267"/>
    </row>
    <row r="274" spans="1:47" ht="18" customHeight="1" x14ac:dyDescent="0.35">
      <c r="A274" s="274">
        <f>MATCH(B274,STUDIES!$A$3:$A$502,0)</f>
        <v>27</v>
      </c>
      <c r="B274" s="272" t="s">
        <v>442</v>
      </c>
      <c r="D274" s="281" t="s">
        <v>1091</v>
      </c>
      <c r="E274" s="272" t="s">
        <v>1163</v>
      </c>
      <c r="F274" s="155" t="str">
        <f>_xlfn.XLOOKUP(B274,STUDIES!$A$3:$A$1063,STUDIES!$G$3:$G$1063,"Not Found!")</f>
        <v>A</v>
      </c>
      <c r="G274" s="273" t="s">
        <v>147</v>
      </c>
      <c r="H274" s="273">
        <v>12</v>
      </c>
      <c r="I274" s="273">
        <v>76</v>
      </c>
      <c r="J274" s="274">
        <v>1</v>
      </c>
      <c r="Q274" s="275"/>
      <c r="R274" s="276"/>
    </row>
    <row r="275" spans="1:47" ht="18" customHeight="1" x14ac:dyDescent="0.35">
      <c r="A275" s="274">
        <f>MATCH(B275,STUDIES!$A$3:$A$502,0)</f>
        <v>27</v>
      </c>
      <c r="B275" s="270" t="s">
        <v>442</v>
      </c>
      <c r="C275" s="459"/>
      <c r="D275" s="278" t="s">
        <v>148</v>
      </c>
      <c r="E275" s="256" t="s">
        <v>151</v>
      </c>
      <c r="F275" s="155" t="str">
        <f>_xlfn.XLOOKUP(B275,STUDIES!$A$3:$A$1063,STUDIES!$G$3:$G$1063,"Not Found!")</f>
        <v>A</v>
      </c>
      <c r="G275" s="257" t="s">
        <v>147</v>
      </c>
      <c r="H275" s="257">
        <v>12</v>
      </c>
      <c r="I275" s="257">
        <v>27</v>
      </c>
      <c r="J275" s="258"/>
      <c r="K275" s="259"/>
      <c r="L275" s="259"/>
      <c r="M275" s="259"/>
      <c r="N275" s="259"/>
      <c r="O275" s="259"/>
      <c r="P275" s="259"/>
      <c r="Q275" s="271" t="s">
        <v>90</v>
      </c>
      <c r="R275" s="262">
        <v>-6.95</v>
      </c>
      <c r="S275" s="259">
        <v>1.7000000000000001E-2</v>
      </c>
      <c r="T275" s="259"/>
      <c r="U275" s="259"/>
      <c r="V275" s="259"/>
      <c r="W275" s="259"/>
      <c r="X275" s="264"/>
      <c r="Y275" s="259"/>
      <c r="Z275" s="259"/>
      <c r="AA275" s="259"/>
      <c r="AB275" s="259"/>
      <c r="AC275" s="259"/>
      <c r="AD275" s="264"/>
      <c r="AE275" s="259"/>
      <c r="AF275" s="259"/>
      <c r="AG275" s="259"/>
      <c r="AH275" s="259"/>
      <c r="AI275" s="259"/>
      <c r="AJ275" s="265"/>
      <c r="AK275" s="266"/>
      <c r="AL275" s="266"/>
      <c r="AM275" s="266"/>
      <c r="AN275" s="266"/>
      <c r="AO275" s="267"/>
      <c r="AP275" s="266"/>
      <c r="AQ275" s="266"/>
      <c r="AR275" s="266"/>
      <c r="AS275" s="266"/>
      <c r="AT275" s="266"/>
      <c r="AU275" s="267"/>
    </row>
    <row r="276" spans="1:47" ht="18" customHeight="1" x14ac:dyDescent="0.35">
      <c r="A276" s="274">
        <f>MATCH(B276,STUDIES!$A$3:$A$502,0)</f>
        <v>27</v>
      </c>
      <c r="B276" s="272" t="s">
        <v>442</v>
      </c>
      <c r="D276" s="281" t="s">
        <v>148</v>
      </c>
      <c r="E276" s="272" t="s">
        <v>1163</v>
      </c>
      <c r="F276" s="155" t="str">
        <f>_xlfn.XLOOKUP(B276,STUDIES!$A$3:$A$1063,STUDIES!$G$3:$G$1063,"Not Found!")</f>
        <v>A</v>
      </c>
      <c r="G276" s="273" t="s">
        <v>147</v>
      </c>
      <c r="H276" s="273">
        <v>12</v>
      </c>
      <c r="I276" s="273">
        <v>27</v>
      </c>
      <c r="J276" s="274">
        <v>4</v>
      </c>
      <c r="Q276" s="275"/>
      <c r="R276" s="276"/>
    </row>
    <row r="277" spans="1:47" ht="18" customHeight="1" x14ac:dyDescent="0.35">
      <c r="A277" s="274">
        <f>MATCH(B277,STUDIES!$A$3:$A$502,0)</f>
        <v>28</v>
      </c>
      <c r="B277" s="256" t="s">
        <v>313</v>
      </c>
      <c r="C277" s="458"/>
      <c r="D277" s="278" t="s">
        <v>1050</v>
      </c>
      <c r="E277" s="270" t="s">
        <v>157</v>
      </c>
      <c r="F277" s="155">
        <f>_xlfn.XLOOKUP(B277,STUDIES!$A$3:$A$1063,STUDIES!$G$3:$G$1063,"Not Found!")</f>
        <v>0</v>
      </c>
      <c r="G277" s="257" t="s">
        <v>147</v>
      </c>
      <c r="H277" s="257">
        <v>6</v>
      </c>
      <c r="I277" s="257">
        <v>15</v>
      </c>
      <c r="J277" s="258"/>
      <c r="K277" s="263">
        <v>2.58</v>
      </c>
      <c r="L277" s="263">
        <v>7.0000000000000007E-2</v>
      </c>
      <c r="M277" s="259"/>
      <c r="N277" s="259"/>
      <c r="O277" s="259"/>
      <c r="P277" s="259"/>
      <c r="Q277" s="271" t="s">
        <v>150</v>
      </c>
      <c r="R277" s="264"/>
      <c r="S277" s="259"/>
      <c r="T277" s="259"/>
      <c r="U277" s="259"/>
      <c r="V277" s="259"/>
      <c r="W277" s="259"/>
      <c r="X277" s="262">
        <v>0.48</v>
      </c>
      <c r="Y277" s="263">
        <v>0.06</v>
      </c>
      <c r="Z277" s="259"/>
      <c r="AA277" s="259"/>
      <c r="AB277" s="259"/>
      <c r="AC277" s="259"/>
      <c r="AD277" s="264"/>
      <c r="AE277" s="259"/>
      <c r="AF277" s="259"/>
      <c r="AG277" s="259"/>
      <c r="AH277" s="259"/>
      <c r="AI277" s="259"/>
      <c r="AJ277" s="265"/>
      <c r="AK277" s="266"/>
      <c r="AL277" s="266"/>
      <c r="AM277" s="266"/>
      <c r="AN277" s="266"/>
      <c r="AO277" s="267"/>
      <c r="AP277" s="266"/>
      <c r="AQ277" s="266"/>
      <c r="AR277" s="266"/>
      <c r="AS277" s="266"/>
      <c r="AT277" s="266"/>
      <c r="AU277" s="267"/>
    </row>
    <row r="278" spans="1:47" ht="18" customHeight="1" x14ac:dyDescent="0.35">
      <c r="A278" s="274">
        <f>MATCH(B278,STUDIES!$A$3:$A$502,0)</f>
        <v>28</v>
      </c>
      <c r="B278" s="272" t="s">
        <v>313</v>
      </c>
      <c r="D278" s="278" t="s">
        <v>1050</v>
      </c>
      <c r="E278" s="272" t="s">
        <v>1163</v>
      </c>
      <c r="F278" s="155">
        <f>_xlfn.XLOOKUP(B278,STUDIES!$A$3:$A$1063,STUDIES!$G$3:$G$1063,"Not Found!")</f>
        <v>0</v>
      </c>
      <c r="G278" s="273" t="s">
        <v>147</v>
      </c>
      <c r="H278" s="273">
        <v>6</v>
      </c>
      <c r="I278" s="273">
        <v>15</v>
      </c>
      <c r="J278" s="274">
        <v>0</v>
      </c>
      <c r="Q278" s="275"/>
      <c r="R278" s="276"/>
    </row>
    <row r="279" spans="1:47" ht="18" customHeight="1" x14ac:dyDescent="0.35">
      <c r="A279" s="274">
        <f>MATCH(B279,STUDIES!$A$3:$A$502,0)</f>
        <v>28</v>
      </c>
      <c r="B279" s="272" t="s">
        <v>313</v>
      </c>
      <c r="D279" s="281" t="s">
        <v>1050</v>
      </c>
      <c r="E279" s="272" t="s">
        <v>1167</v>
      </c>
      <c r="F279" s="155">
        <f>_xlfn.XLOOKUP(B279,STUDIES!$A$3:$A$1063,STUDIES!$G$3:$G$1063,"Not Found!")</f>
        <v>0</v>
      </c>
      <c r="G279" s="273" t="s">
        <v>147</v>
      </c>
      <c r="H279" s="273">
        <v>6</v>
      </c>
      <c r="I279" s="273">
        <v>15</v>
      </c>
      <c r="J279" s="274">
        <v>0</v>
      </c>
      <c r="Q279" s="275"/>
      <c r="R279" s="276"/>
    </row>
    <row r="280" spans="1:47" ht="18" customHeight="1" x14ac:dyDescent="0.35">
      <c r="A280" s="274">
        <f>MATCH(B280,STUDIES!$A$3:$A$502,0)</f>
        <v>28</v>
      </c>
      <c r="B280" s="256" t="s">
        <v>313</v>
      </c>
      <c r="C280" s="458"/>
      <c r="D280" s="269" t="s">
        <v>1092</v>
      </c>
      <c r="E280" s="270" t="s">
        <v>157</v>
      </c>
      <c r="F280" s="155">
        <f>_xlfn.XLOOKUP(B280,STUDIES!$A$3:$A$1063,STUDIES!$G$3:$G$1063,"Not Found!")</f>
        <v>0</v>
      </c>
      <c r="G280" s="257" t="s">
        <v>147</v>
      </c>
      <c r="H280" s="257">
        <v>6</v>
      </c>
      <c r="I280" s="257">
        <v>15</v>
      </c>
      <c r="J280" s="258"/>
      <c r="K280" s="263" t="s">
        <v>180</v>
      </c>
      <c r="L280" s="263">
        <v>0.08</v>
      </c>
      <c r="M280" s="259"/>
      <c r="N280" s="259"/>
      <c r="O280" s="259"/>
      <c r="P280" s="259"/>
      <c r="Q280" s="271" t="s">
        <v>150</v>
      </c>
      <c r="R280" s="264"/>
      <c r="S280" s="259"/>
      <c r="T280" s="259"/>
      <c r="U280" s="259"/>
      <c r="V280" s="259"/>
      <c r="W280" s="259"/>
      <c r="X280" s="262">
        <v>0.35</v>
      </c>
      <c r="Y280" s="263">
        <v>0.05</v>
      </c>
      <c r="Z280" s="259"/>
      <c r="AA280" s="259"/>
      <c r="AB280" s="259"/>
      <c r="AC280" s="259"/>
      <c r="AD280" s="264"/>
      <c r="AE280" s="259"/>
      <c r="AF280" s="259"/>
      <c r="AG280" s="259"/>
      <c r="AH280" s="259"/>
      <c r="AI280" s="259"/>
      <c r="AJ280" s="265"/>
      <c r="AK280" s="266"/>
      <c r="AL280" s="266"/>
      <c r="AM280" s="266"/>
      <c r="AN280" s="266"/>
      <c r="AO280" s="267"/>
      <c r="AP280" s="266"/>
      <c r="AQ280" s="266"/>
      <c r="AR280" s="266"/>
      <c r="AS280" s="266"/>
      <c r="AT280" s="266"/>
      <c r="AU280" s="267"/>
    </row>
    <row r="281" spans="1:47" ht="18" customHeight="1" x14ac:dyDescent="0.35">
      <c r="A281" s="274">
        <f>MATCH(B281,STUDIES!$A$3:$A$502,0)</f>
        <v>28</v>
      </c>
      <c r="B281" s="272" t="s">
        <v>313</v>
      </c>
      <c r="D281" s="269" t="s">
        <v>1092</v>
      </c>
      <c r="E281" s="272" t="s">
        <v>1163</v>
      </c>
      <c r="F281" s="155">
        <f>_xlfn.XLOOKUP(B281,STUDIES!$A$3:$A$1063,STUDIES!$G$3:$G$1063,"Not Found!")</f>
        <v>0</v>
      </c>
      <c r="G281" s="273" t="s">
        <v>147</v>
      </c>
      <c r="H281" s="273">
        <v>6</v>
      </c>
      <c r="I281" s="273">
        <v>15</v>
      </c>
      <c r="J281" s="274">
        <v>0</v>
      </c>
    </row>
    <row r="282" spans="1:47" ht="18" customHeight="1" x14ac:dyDescent="0.35">
      <c r="A282" s="274">
        <f>MATCH(B282,STUDIES!$A$3:$A$502,0)</f>
        <v>28</v>
      </c>
      <c r="B282" s="272" t="s">
        <v>313</v>
      </c>
      <c r="D282" s="281" t="s">
        <v>1092</v>
      </c>
      <c r="E282" s="272" t="s">
        <v>1167</v>
      </c>
      <c r="F282" s="155">
        <f>_xlfn.XLOOKUP(B282,STUDIES!$A$3:$A$1063,STUDIES!$G$3:$G$1063,"Not Found!")</f>
        <v>0</v>
      </c>
      <c r="G282" s="273" t="s">
        <v>147</v>
      </c>
      <c r="H282" s="273">
        <v>6</v>
      </c>
      <c r="I282" s="273">
        <v>15</v>
      </c>
      <c r="J282" s="274">
        <v>0</v>
      </c>
    </row>
    <row r="283" spans="1:47" ht="18" customHeight="1" x14ac:dyDescent="0.35">
      <c r="A283" s="274">
        <f>MATCH(B283,STUDIES!$A$3:$A$502,0)</f>
        <v>29</v>
      </c>
      <c r="B283" s="272" t="s">
        <v>820</v>
      </c>
      <c r="D283" s="316" t="s">
        <v>1054</v>
      </c>
      <c r="E283" s="272" t="s">
        <v>694</v>
      </c>
      <c r="F283" s="155" t="str">
        <f>_xlfn.XLOOKUP(B283,STUDIES!$A$3:$A$1063,STUDIES!$G$3:$G$1063,"Not Found!")</f>
        <v>C</v>
      </c>
      <c r="G283" s="273" t="s">
        <v>147</v>
      </c>
      <c r="H283" s="273">
        <v>16</v>
      </c>
      <c r="I283" s="273">
        <v>122</v>
      </c>
      <c r="K283" s="294">
        <v>16.2</v>
      </c>
      <c r="L283" s="294"/>
      <c r="M283" s="294">
        <v>7.9</v>
      </c>
      <c r="Q283" s="282" t="s">
        <v>90</v>
      </c>
      <c r="R283" s="312">
        <v>-10.7</v>
      </c>
      <c r="S283" s="294">
        <v>0.5</v>
      </c>
      <c r="T283" s="294"/>
      <c r="U283" s="294"/>
      <c r="V283" s="294"/>
      <c r="W283" s="294"/>
    </row>
    <row r="284" spans="1:47" ht="18" customHeight="1" x14ac:dyDescent="0.35">
      <c r="A284" s="274">
        <f>MATCH(B284,STUDIES!$A$3:$A$502,0)</f>
        <v>29</v>
      </c>
      <c r="B284" s="272" t="s">
        <v>820</v>
      </c>
      <c r="D284" s="316" t="s">
        <v>1054</v>
      </c>
      <c r="E284" s="272" t="s">
        <v>151</v>
      </c>
      <c r="F284" s="155" t="str">
        <f>_xlfn.XLOOKUP(B284,STUDIES!$A$3:$A$1063,STUDIES!$G$3:$G$1063,"Not Found!")</f>
        <v>C</v>
      </c>
      <c r="G284" s="273" t="s">
        <v>147</v>
      </c>
      <c r="H284" s="273">
        <v>16</v>
      </c>
      <c r="I284" s="273">
        <v>122</v>
      </c>
      <c r="K284" s="268">
        <v>37.299999999999997</v>
      </c>
      <c r="M284" s="268">
        <v>10.9</v>
      </c>
      <c r="Q284" s="282" t="s">
        <v>92</v>
      </c>
      <c r="AJ284" s="276">
        <v>-78.400000000000006</v>
      </c>
      <c r="AK284" s="268">
        <v>2.4</v>
      </c>
    </row>
    <row r="285" spans="1:47" ht="18" customHeight="1" x14ac:dyDescent="0.35">
      <c r="A285" s="274">
        <f>MATCH(B285,STUDIES!$A$3:$A$502,0)</f>
        <v>29</v>
      </c>
      <c r="B285" s="272" t="s">
        <v>820</v>
      </c>
      <c r="D285" s="316" t="s">
        <v>1054</v>
      </c>
      <c r="E285" s="272" t="s">
        <v>153</v>
      </c>
      <c r="F285" s="155" t="str">
        <f>_xlfn.XLOOKUP(B285,STUDIES!$A$3:$A$1063,STUDIES!$G$3:$G$1063,"Not Found!")</f>
        <v>C</v>
      </c>
      <c r="G285" s="273" t="s">
        <v>147</v>
      </c>
      <c r="H285" s="273">
        <v>16</v>
      </c>
      <c r="I285" s="273">
        <v>122</v>
      </c>
      <c r="K285" s="268">
        <v>21.3</v>
      </c>
      <c r="M285" s="268">
        <v>5.5</v>
      </c>
      <c r="Q285" s="282" t="s">
        <v>90</v>
      </c>
      <c r="R285" s="283">
        <v>-13.4</v>
      </c>
      <c r="S285" s="268">
        <v>0.7</v>
      </c>
    </row>
    <row r="286" spans="1:47" ht="18" customHeight="1" x14ac:dyDescent="0.35">
      <c r="A286" s="274">
        <f>MATCH(B286,STUDIES!$A$3:$A$502,0)</f>
        <v>29</v>
      </c>
      <c r="B286" s="272" t="s">
        <v>820</v>
      </c>
      <c r="D286" s="316" t="s">
        <v>1054</v>
      </c>
      <c r="E286" s="272" t="s">
        <v>695</v>
      </c>
      <c r="F286" s="155" t="str">
        <f>_xlfn.XLOOKUP(B286,STUDIES!$A$3:$A$1063,STUDIES!$G$3:$G$1063,"Not Found!")</f>
        <v>C</v>
      </c>
      <c r="G286" s="273" t="s">
        <v>147</v>
      </c>
      <c r="H286" s="273">
        <v>16</v>
      </c>
      <c r="I286" s="273">
        <v>122</v>
      </c>
      <c r="K286" s="268">
        <v>7.8</v>
      </c>
      <c r="M286" s="268">
        <v>1.5</v>
      </c>
      <c r="Q286" s="282" t="s">
        <v>90</v>
      </c>
      <c r="R286" s="283">
        <v>-4.2</v>
      </c>
      <c r="S286" s="268">
        <v>0.2</v>
      </c>
    </row>
    <row r="287" spans="1:47" ht="18" customHeight="1" x14ac:dyDescent="0.35">
      <c r="A287" s="274">
        <f>MATCH(B287,STUDIES!$A$3:$A$502,0)</f>
        <v>29</v>
      </c>
      <c r="B287" s="272" t="s">
        <v>820</v>
      </c>
      <c r="D287" s="316" t="s">
        <v>1054</v>
      </c>
      <c r="E287" s="272" t="s">
        <v>1163</v>
      </c>
      <c r="F287" s="155" t="str">
        <f>_xlfn.XLOOKUP(B287,STUDIES!$A$3:$A$1063,STUDIES!$G$3:$G$1063,"Not Found!")</f>
        <v>C</v>
      </c>
      <c r="G287" s="273" t="s">
        <v>147</v>
      </c>
      <c r="H287" s="273">
        <v>16</v>
      </c>
      <c r="I287" s="273">
        <v>122</v>
      </c>
      <c r="J287" s="274">
        <v>0</v>
      </c>
    </row>
    <row r="288" spans="1:47" ht="18" customHeight="1" x14ac:dyDescent="0.35">
      <c r="A288" s="274">
        <f>MATCH(B288,STUDIES!$A$3:$A$502,0)</f>
        <v>29</v>
      </c>
      <c r="B288" s="272" t="s">
        <v>820</v>
      </c>
      <c r="D288" s="281" t="s">
        <v>1054</v>
      </c>
      <c r="E288" s="272" t="s">
        <v>1167</v>
      </c>
      <c r="F288" s="155" t="str">
        <f>_xlfn.XLOOKUP(B288,STUDIES!$A$3:$A$1063,STUDIES!$G$3:$G$1063,"Not Found!")</f>
        <v>C</v>
      </c>
      <c r="G288" s="273" t="s">
        <v>147</v>
      </c>
      <c r="H288" s="273">
        <v>16</v>
      </c>
      <c r="I288" s="273">
        <v>122</v>
      </c>
      <c r="J288" s="274">
        <v>2</v>
      </c>
    </row>
    <row r="289" spans="1:37" ht="18" customHeight="1" x14ac:dyDescent="0.35">
      <c r="A289" s="274">
        <f>MATCH(B289,STUDIES!$A$3:$A$502,0)</f>
        <v>29</v>
      </c>
      <c r="B289" s="272" t="s">
        <v>820</v>
      </c>
      <c r="D289" s="316" t="s">
        <v>1057</v>
      </c>
      <c r="E289" s="272" t="s">
        <v>694</v>
      </c>
      <c r="F289" s="155" t="str">
        <f>_xlfn.XLOOKUP(B289,STUDIES!$A$3:$A$1063,STUDIES!$G$3:$G$1063,"Not Found!")</f>
        <v>C</v>
      </c>
      <c r="G289" s="273" t="s">
        <v>147</v>
      </c>
      <c r="H289" s="273">
        <v>16</v>
      </c>
      <c r="I289" s="273">
        <v>122</v>
      </c>
      <c r="K289" s="294">
        <v>14.5</v>
      </c>
      <c r="L289" s="294"/>
      <c r="M289" s="294">
        <v>6.8</v>
      </c>
      <c r="Q289" s="282" t="s">
        <v>90</v>
      </c>
      <c r="R289" s="312">
        <v>-10.6</v>
      </c>
      <c r="S289" s="294">
        <v>0.5</v>
      </c>
      <c r="T289" s="294"/>
      <c r="U289" s="294"/>
      <c r="V289" s="294"/>
      <c r="W289" s="294"/>
    </row>
    <row r="290" spans="1:37" ht="18" customHeight="1" x14ac:dyDescent="0.35">
      <c r="A290" s="274">
        <f>MATCH(B290,STUDIES!$A$3:$A$502,0)</f>
        <v>29</v>
      </c>
      <c r="B290" s="272" t="s">
        <v>820</v>
      </c>
      <c r="D290" s="316" t="s">
        <v>1057</v>
      </c>
      <c r="E290" s="272" t="s">
        <v>151</v>
      </c>
      <c r="F290" s="155" t="str">
        <f>_xlfn.XLOOKUP(B290,STUDIES!$A$3:$A$1063,STUDIES!$G$3:$G$1063,"Not Found!")</f>
        <v>C</v>
      </c>
      <c r="G290" s="273" t="s">
        <v>147</v>
      </c>
      <c r="H290" s="273">
        <v>16</v>
      </c>
      <c r="I290" s="273">
        <v>122</v>
      </c>
      <c r="K290" s="268">
        <v>37.4</v>
      </c>
      <c r="M290" s="268">
        <v>12.5</v>
      </c>
      <c r="Q290" s="282" t="s">
        <v>92</v>
      </c>
      <c r="AJ290" s="276">
        <v>-82.1</v>
      </c>
      <c r="AK290" s="268">
        <v>2.4</v>
      </c>
    </row>
    <row r="291" spans="1:37" ht="18" customHeight="1" x14ac:dyDescent="0.35">
      <c r="A291" s="274">
        <f>MATCH(B291,STUDIES!$A$3:$A$502,0)</f>
        <v>29</v>
      </c>
      <c r="B291" s="272" t="s">
        <v>820</v>
      </c>
      <c r="D291" s="316" t="s">
        <v>1057</v>
      </c>
      <c r="E291" s="272" t="s">
        <v>153</v>
      </c>
      <c r="F291" s="155" t="str">
        <f>_xlfn.XLOOKUP(B291,STUDIES!$A$3:$A$1063,STUDIES!$G$3:$G$1063,"Not Found!")</f>
        <v>C</v>
      </c>
      <c r="G291" s="273" t="s">
        <v>147</v>
      </c>
      <c r="H291" s="273">
        <v>16</v>
      </c>
      <c r="I291" s="273">
        <v>122</v>
      </c>
      <c r="K291" s="268">
        <v>20.5</v>
      </c>
      <c r="M291" s="268">
        <v>5.5</v>
      </c>
      <c r="Q291" s="282" t="s">
        <v>90</v>
      </c>
      <c r="R291" s="283">
        <v>-13.6</v>
      </c>
      <c r="S291" s="268">
        <v>0.7</v>
      </c>
    </row>
    <row r="292" spans="1:37" ht="18" customHeight="1" x14ac:dyDescent="0.35">
      <c r="A292" s="274">
        <f>MATCH(B292,STUDIES!$A$3:$A$502,0)</f>
        <v>29</v>
      </c>
      <c r="B292" s="272" t="s">
        <v>820</v>
      </c>
      <c r="D292" s="316" t="s">
        <v>1057</v>
      </c>
      <c r="E292" s="272" t="s">
        <v>695</v>
      </c>
      <c r="F292" s="155" t="str">
        <f>_xlfn.XLOOKUP(B292,STUDIES!$A$3:$A$1063,STUDIES!$G$3:$G$1063,"Not Found!")</f>
        <v>C</v>
      </c>
      <c r="G292" s="273" t="s">
        <v>147</v>
      </c>
      <c r="H292" s="273">
        <v>16</v>
      </c>
      <c r="I292" s="273">
        <v>122</v>
      </c>
      <c r="K292" s="268">
        <v>7.8</v>
      </c>
      <c r="M292" s="268">
        <v>1.6</v>
      </c>
      <c r="Q292" s="282" t="s">
        <v>90</v>
      </c>
      <c r="R292" s="283">
        <v>-4.5</v>
      </c>
      <c r="S292" s="268">
        <v>0.2</v>
      </c>
    </row>
    <row r="293" spans="1:37" ht="18" customHeight="1" x14ac:dyDescent="0.35">
      <c r="A293" s="274">
        <f>MATCH(B293,STUDIES!$A$3:$A$502,0)</f>
        <v>29</v>
      </c>
      <c r="B293" s="272" t="s">
        <v>820</v>
      </c>
      <c r="D293" s="281" t="s">
        <v>1057</v>
      </c>
      <c r="E293" s="272" t="s">
        <v>1163</v>
      </c>
      <c r="F293" s="155" t="str">
        <f>_xlfn.XLOOKUP(B293,STUDIES!$A$3:$A$1063,STUDIES!$G$3:$G$1063,"Not Found!")</f>
        <v>C</v>
      </c>
      <c r="G293" s="273" t="s">
        <v>147</v>
      </c>
      <c r="H293" s="273">
        <v>16</v>
      </c>
      <c r="I293" s="273">
        <v>120</v>
      </c>
      <c r="J293" s="274">
        <v>2</v>
      </c>
    </row>
    <row r="294" spans="1:37" ht="18" customHeight="1" x14ac:dyDescent="0.35">
      <c r="A294" s="274">
        <f>MATCH(B294,STUDIES!$A$3:$A$502,0)</f>
        <v>29</v>
      </c>
      <c r="B294" s="272" t="s">
        <v>820</v>
      </c>
      <c r="D294" s="281" t="s">
        <v>1057</v>
      </c>
      <c r="E294" s="272" t="s">
        <v>1167</v>
      </c>
      <c r="F294" s="155" t="str">
        <f>_xlfn.XLOOKUP(B294,STUDIES!$A$3:$A$1063,STUDIES!$G$3:$G$1063,"Not Found!")</f>
        <v>C</v>
      </c>
      <c r="G294" s="273" t="s">
        <v>147</v>
      </c>
      <c r="H294" s="273">
        <v>16</v>
      </c>
      <c r="I294" s="273">
        <v>120</v>
      </c>
      <c r="J294" s="274">
        <v>0</v>
      </c>
    </row>
    <row r="295" spans="1:37" ht="18" customHeight="1" x14ac:dyDescent="0.35">
      <c r="A295" s="274">
        <f>MATCH(B295,STUDIES!$A$3:$A$502,0)</f>
        <v>29</v>
      </c>
      <c r="B295" s="272" t="s">
        <v>820</v>
      </c>
      <c r="D295" s="316" t="s">
        <v>148</v>
      </c>
      <c r="E295" s="272" t="s">
        <v>694</v>
      </c>
      <c r="F295" s="155" t="str">
        <f>_xlfn.XLOOKUP(B295,STUDIES!$A$3:$A$1063,STUDIES!$G$3:$G$1063,"Not Found!")</f>
        <v>C</v>
      </c>
      <c r="G295" s="273" t="s">
        <v>147</v>
      </c>
      <c r="H295" s="273">
        <v>16</v>
      </c>
      <c r="I295" s="273">
        <v>123</v>
      </c>
      <c r="K295" s="294">
        <v>14.6</v>
      </c>
      <c r="L295" s="294"/>
      <c r="M295" s="294">
        <v>7.4</v>
      </c>
      <c r="Q295" s="282" t="s">
        <v>90</v>
      </c>
      <c r="R295" s="312">
        <v>-6.4</v>
      </c>
      <c r="S295" s="294">
        <v>0.5</v>
      </c>
      <c r="T295" s="294"/>
      <c r="U295" s="294"/>
      <c r="V295" s="294"/>
      <c r="W295" s="294"/>
    </row>
    <row r="296" spans="1:37" ht="18" customHeight="1" x14ac:dyDescent="0.35">
      <c r="A296" s="274">
        <f>MATCH(B296,STUDIES!$A$3:$A$502,0)</f>
        <v>29</v>
      </c>
      <c r="B296" s="272" t="s">
        <v>820</v>
      </c>
      <c r="D296" s="316" t="s">
        <v>148</v>
      </c>
      <c r="E296" s="272" t="s">
        <v>151</v>
      </c>
      <c r="F296" s="155" t="str">
        <f>_xlfn.XLOOKUP(B296,STUDIES!$A$3:$A$1063,STUDIES!$G$3:$G$1063,"Not Found!")</f>
        <v>C</v>
      </c>
      <c r="G296" s="273" t="s">
        <v>147</v>
      </c>
      <c r="H296" s="273">
        <v>16</v>
      </c>
      <c r="I296" s="273">
        <v>123</v>
      </c>
      <c r="K296" s="268">
        <v>39</v>
      </c>
      <c r="M296" s="268">
        <v>12</v>
      </c>
      <c r="Q296" s="282" t="s">
        <v>92</v>
      </c>
      <c r="AJ296" s="276">
        <v>-48.6</v>
      </c>
      <c r="AK296" s="268">
        <v>2.5</v>
      </c>
    </row>
    <row r="297" spans="1:37" ht="18" customHeight="1" x14ac:dyDescent="0.35">
      <c r="A297" s="274">
        <f>MATCH(B297,STUDIES!$A$3:$A$502,0)</f>
        <v>29</v>
      </c>
      <c r="B297" s="272" t="s">
        <v>820</v>
      </c>
      <c r="D297" s="316" t="s">
        <v>148</v>
      </c>
      <c r="E297" s="272" t="s">
        <v>153</v>
      </c>
      <c r="F297" s="155" t="str">
        <f>_xlfn.XLOOKUP(B297,STUDIES!$A$3:$A$1063,STUDIES!$G$3:$G$1063,"Not Found!")</f>
        <v>C</v>
      </c>
      <c r="G297" s="273" t="s">
        <v>147</v>
      </c>
      <c r="H297" s="273">
        <v>16</v>
      </c>
      <c r="I297" s="273">
        <v>123</v>
      </c>
      <c r="K297" s="268">
        <v>20.7</v>
      </c>
      <c r="M297" s="268">
        <v>5.5</v>
      </c>
      <c r="Q297" s="282" t="s">
        <v>90</v>
      </c>
      <c r="R297" s="314">
        <v>-5.3</v>
      </c>
      <c r="S297" s="268">
        <v>0.7</v>
      </c>
    </row>
    <row r="298" spans="1:37" ht="18" customHeight="1" x14ac:dyDescent="0.35">
      <c r="A298" s="274">
        <f>MATCH(B298,STUDIES!$A$3:$A$502,0)</f>
        <v>29</v>
      </c>
      <c r="B298" s="272" t="s">
        <v>820</v>
      </c>
      <c r="D298" s="316" t="s">
        <v>148</v>
      </c>
      <c r="E298" s="272" t="s">
        <v>695</v>
      </c>
      <c r="F298" s="155" t="str">
        <f>_xlfn.XLOOKUP(B298,STUDIES!$A$3:$A$1063,STUDIES!$G$3:$G$1063,"Not Found!")</f>
        <v>C</v>
      </c>
      <c r="G298" s="273" t="s">
        <v>147</v>
      </c>
      <c r="H298" s="273">
        <v>16</v>
      </c>
      <c r="I298" s="273">
        <v>123</v>
      </c>
      <c r="K298" s="268">
        <v>7.7</v>
      </c>
      <c r="M298" s="268">
        <v>1.5</v>
      </c>
      <c r="Q298" s="282" t="s">
        <v>90</v>
      </c>
      <c r="R298" s="314">
        <v>-2.1</v>
      </c>
      <c r="S298" s="268">
        <v>0.2</v>
      </c>
    </row>
    <row r="299" spans="1:37" ht="18" customHeight="1" x14ac:dyDescent="0.35">
      <c r="A299" s="274">
        <f>MATCH(B299,STUDIES!$A$3:$A$502,0)</f>
        <v>29</v>
      </c>
      <c r="B299" s="272" t="s">
        <v>820</v>
      </c>
      <c r="D299" s="281" t="s">
        <v>148</v>
      </c>
      <c r="E299" s="272" t="s">
        <v>1163</v>
      </c>
      <c r="F299" s="155" t="str">
        <f>_xlfn.XLOOKUP(B299,STUDIES!$A$3:$A$1063,STUDIES!$G$3:$G$1063,"Not Found!")</f>
        <v>C</v>
      </c>
      <c r="G299" s="273" t="s">
        <v>147</v>
      </c>
      <c r="H299" s="273">
        <v>16</v>
      </c>
      <c r="I299" s="273">
        <v>120</v>
      </c>
      <c r="J299" s="274">
        <v>2</v>
      </c>
      <c r="R299" s="314"/>
    </row>
    <row r="300" spans="1:37" ht="18" customHeight="1" x14ac:dyDescent="0.35">
      <c r="A300" s="274">
        <f>MATCH(B300,STUDIES!$A$3:$A$502,0)</f>
        <v>29</v>
      </c>
      <c r="B300" s="272" t="s">
        <v>820</v>
      </c>
      <c r="D300" s="281" t="s">
        <v>148</v>
      </c>
      <c r="E300" s="272" t="s">
        <v>1167</v>
      </c>
      <c r="F300" s="155" t="str">
        <f>_xlfn.XLOOKUP(B300,STUDIES!$A$3:$A$1063,STUDIES!$G$3:$G$1063,"Not Found!")</f>
        <v>C</v>
      </c>
      <c r="G300" s="273" t="s">
        <v>147</v>
      </c>
      <c r="H300" s="273">
        <v>16</v>
      </c>
      <c r="I300" s="273">
        <v>120</v>
      </c>
      <c r="J300" s="274">
        <v>2</v>
      </c>
      <c r="R300" s="314"/>
    </row>
    <row r="301" spans="1:37" ht="18" customHeight="1" x14ac:dyDescent="0.35">
      <c r="A301" s="274">
        <f>MATCH(B301,STUDIES!$A$3:$A$502,0)</f>
        <v>30</v>
      </c>
      <c r="B301" s="272" t="s">
        <v>837</v>
      </c>
      <c r="D301" s="316" t="s">
        <v>1043</v>
      </c>
      <c r="E301" s="272" t="s">
        <v>154</v>
      </c>
      <c r="F301" s="155" t="str">
        <f>_xlfn.XLOOKUP(B301,STUDIES!$A$3:$A$1063,STUDIES!$G$3:$G$1063,"Not Found!")</f>
        <v>A</v>
      </c>
      <c r="G301" s="273" t="s">
        <v>147</v>
      </c>
      <c r="H301" s="273">
        <v>16</v>
      </c>
      <c r="I301" s="273">
        <v>109</v>
      </c>
      <c r="K301" s="294">
        <v>15</v>
      </c>
      <c r="L301" s="294"/>
      <c r="M301" s="294">
        <v>7.7</v>
      </c>
      <c r="Q301" s="282" t="s">
        <v>90</v>
      </c>
      <c r="R301" s="315">
        <v>-7.5</v>
      </c>
      <c r="S301" s="294">
        <v>0.6</v>
      </c>
      <c r="T301" s="294"/>
      <c r="U301" s="294"/>
      <c r="V301" s="294"/>
      <c r="W301" s="294"/>
    </row>
    <row r="302" spans="1:37" ht="18" customHeight="1" x14ac:dyDescent="0.35">
      <c r="A302" s="274">
        <f>MATCH(B302,STUDIES!$A$3:$A$502,0)</f>
        <v>30</v>
      </c>
      <c r="B302" s="272" t="s">
        <v>837</v>
      </c>
      <c r="D302" s="316" t="s">
        <v>1043</v>
      </c>
      <c r="E302" s="272" t="s">
        <v>151</v>
      </c>
      <c r="F302" s="155" t="str">
        <f>_xlfn.XLOOKUP(B302,STUDIES!$A$3:$A$1063,STUDIES!$G$3:$G$1063,"Not Found!")</f>
        <v>A</v>
      </c>
      <c r="G302" s="273" t="s">
        <v>147</v>
      </c>
      <c r="H302" s="273">
        <v>16</v>
      </c>
      <c r="I302" s="273">
        <v>109</v>
      </c>
      <c r="K302" s="268">
        <v>29.3</v>
      </c>
      <c r="M302" s="268">
        <v>11.9</v>
      </c>
      <c r="Q302" s="282" t="s">
        <v>92</v>
      </c>
      <c r="R302" s="314"/>
      <c r="AJ302" s="276">
        <v>-58.2</v>
      </c>
      <c r="AK302" s="268">
        <v>3.7</v>
      </c>
    </row>
    <row r="303" spans="1:37" ht="18" customHeight="1" x14ac:dyDescent="0.35">
      <c r="A303" s="274">
        <f>MATCH(B303,STUDIES!$A$3:$A$502,0)</f>
        <v>30</v>
      </c>
      <c r="B303" s="336" t="s">
        <v>837</v>
      </c>
      <c r="C303" s="461"/>
      <c r="D303" s="316" t="s">
        <v>1043</v>
      </c>
      <c r="E303" s="272" t="s">
        <v>153</v>
      </c>
      <c r="F303" s="155" t="str">
        <f>_xlfn.XLOOKUP(B303,STUDIES!$A$3:$A$1063,STUDIES!$G$3:$G$1063,"Not Found!")</f>
        <v>A</v>
      </c>
      <c r="G303" s="273" t="s">
        <v>147</v>
      </c>
      <c r="H303" s="273">
        <v>16</v>
      </c>
      <c r="I303" s="273">
        <v>109</v>
      </c>
      <c r="K303" s="268">
        <v>21</v>
      </c>
      <c r="M303" s="268">
        <v>6.3</v>
      </c>
      <c r="Q303" s="282" t="s">
        <v>90</v>
      </c>
      <c r="R303" s="314">
        <v>-8.5</v>
      </c>
      <c r="S303" s="268">
        <v>0.7</v>
      </c>
    </row>
    <row r="304" spans="1:37" ht="18" customHeight="1" x14ac:dyDescent="0.35">
      <c r="A304" s="274">
        <f>MATCH(B304,STUDIES!$A$3:$A$502,0)</f>
        <v>30</v>
      </c>
      <c r="B304" s="336" t="s">
        <v>837</v>
      </c>
      <c r="C304" s="461"/>
      <c r="D304" s="316" t="s">
        <v>1043</v>
      </c>
      <c r="E304" s="272" t="s">
        <v>695</v>
      </c>
      <c r="F304" s="155" t="str">
        <f>_xlfn.XLOOKUP(B304,STUDIES!$A$3:$A$1063,STUDIES!$G$3:$G$1063,"Not Found!")</f>
        <v>A</v>
      </c>
      <c r="G304" s="273" t="s">
        <v>147</v>
      </c>
      <c r="H304" s="273">
        <v>16</v>
      </c>
      <c r="I304" s="273">
        <v>109</v>
      </c>
      <c r="K304" s="268">
        <v>7</v>
      </c>
      <c r="M304" s="268">
        <v>2.1</v>
      </c>
      <c r="Q304" s="282" t="s">
        <v>90</v>
      </c>
      <c r="R304" s="314">
        <v>-3.2</v>
      </c>
      <c r="S304" s="268">
        <v>0.2</v>
      </c>
    </row>
    <row r="305" spans="1:47" ht="18" customHeight="1" x14ac:dyDescent="0.35">
      <c r="A305" s="274">
        <f>MATCH(B305,STUDIES!$A$3:$A$502,0)</f>
        <v>30</v>
      </c>
      <c r="B305" s="272" t="s">
        <v>837</v>
      </c>
      <c r="D305" s="281" t="s">
        <v>1043</v>
      </c>
      <c r="E305" s="272" t="s">
        <v>1163</v>
      </c>
      <c r="F305" s="155" t="str">
        <f>_xlfn.XLOOKUP(B305,STUDIES!$A$3:$A$1063,STUDIES!$G$3:$G$1063,"Not Found!")</f>
        <v>A</v>
      </c>
      <c r="G305" s="273" t="s">
        <v>147</v>
      </c>
      <c r="H305" s="273">
        <v>16</v>
      </c>
      <c r="I305" s="273">
        <v>109</v>
      </c>
      <c r="J305" s="274">
        <v>2</v>
      </c>
      <c r="Q305" s="275"/>
      <c r="R305" s="276"/>
    </row>
    <row r="306" spans="1:47" ht="18" customHeight="1" x14ac:dyDescent="0.35">
      <c r="A306" s="274">
        <f>MATCH(B306,STUDIES!$A$3:$A$502,0)</f>
        <v>30</v>
      </c>
      <c r="B306" s="272" t="s">
        <v>837</v>
      </c>
      <c r="D306" s="281" t="s">
        <v>1043</v>
      </c>
      <c r="E306" s="272" t="s">
        <v>1167</v>
      </c>
      <c r="F306" s="155" t="str">
        <f>_xlfn.XLOOKUP(B306,STUDIES!$A$3:$A$1063,STUDIES!$G$3:$G$1063,"Not Found!")</f>
        <v>A</v>
      </c>
      <c r="G306" s="273" t="s">
        <v>147</v>
      </c>
      <c r="H306" s="273">
        <v>16</v>
      </c>
      <c r="I306" s="273">
        <v>109</v>
      </c>
      <c r="J306" s="274">
        <v>0</v>
      </c>
      <c r="Q306" s="275"/>
      <c r="R306" s="276"/>
    </row>
    <row r="307" spans="1:47" ht="18" customHeight="1" x14ac:dyDescent="0.35">
      <c r="A307" s="274">
        <f>MATCH(B307,STUDIES!$A$3:$A$502,0)</f>
        <v>30</v>
      </c>
      <c r="B307" s="272" t="s">
        <v>837</v>
      </c>
      <c r="D307" s="316" t="s">
        <v>1044</v>
      </c>
      <c r="E307" s="272" t="s">
        <v>154</v>
      </c>
      <c r="F307" s="155" t="str">
        <f>_xlfn.XLOOKUP(B307,STUDIES!$A$3:$A$1063,STUDIES!$G$3:$G$1063,"Not Found!")</f>
        <v>A</v>
      </c>
      <c r="G307" s="273" t="s">
        <v>147</v>
      </c>
      <c r="H307" s="273">
        <v>16</v>
      </c>
      <c r="I307" s="273">
        <v>111</v>
      </c>
      <c r="K307" s="294">
        <v>14.7</v>
      </c>
      <c r="L307" s="294"/>
      <c r="M307" s="294">
        <v>7.9</v>
      </c>
      <c r="Q307" s="275" t="s">
        <v>90</v>
      </c>
      <c r="R307" s="313">
        <v>-8.9</v>
      </c>
      <c r="S307" s="294">
        <v>0.6</v>
      </c>
      <c r="T307" s="294"/>
      <c r="U307" s="294"/>
      <c r="V307" s="294"/>
      <c r="W307" s="294"/>
    </row>
    <row r="308" spans="1:47" ht="18" customHeight="1" x14ac:dyDescent="0.35">
      <c r="A308" s="274">
        <f>MATCH(B308,STUDIES!$A$3:$A$502,0)</f>
        <v>30</v>
      </c>
      <c r="B308" s="272" t="s">
        <v>837</v>
      </c>
      <c r="D308" s="316" t="s">
        <v>1044</v>
      </c>
      <c r="E308" s="272" t="s">
        <v>151</v>
      </c>
      <c r="F308" s="155" t="str">
        <f>_xlfn.XLOOKUP(B308,STUDIES!$A$3:$A$1063,STUDIES!$G$3:$G$1063,"Not Found!")</f>
        <v>A</v>
      </c>
      <c r="G308" s="273" t="s">
        <v>147</v>
      </c>
      <c r="H308" s="273">
        <v>16</v>
      </c>
      <c r="I308" s="273">
        <v>111</v>
      </c>
      <c r="K308" s="268">
        <v>30.9</v>
      </c>
      <c r="M308" s="268">
        <v>12.6</v>
      </c>
      <c r="Q308" s="275" t="s">
        <v>92</v>
      </c>
      <c r="R308" s="276"/>
      <c r="AJ308" s="276">
        <v>-67.2</v>
      </c>
      <c r="AK308" s="268">
        <v>3.7</v>
      </c>
    </row>
    <row r="309" spans="1:47" ht="18" customHeight="1" x14ac:dyDescent="0.35">
      <c r="A309" s="274">
        <f>MATCH(B309,STUDIES!$A$3:$A$502,0)</f>
        <v>30</v>
      </c>
      <c r="B309" s="336" t="s">
        <v>837</v>
      </c>
      <c r="C309" s="461"/>
      <c r="D309" s="316" t="s">
        <v>1044</v>
      </c>
      <c r="E309" s="272" t="s">
        <v>153</v>
      </c>
      <c r="F309" s="155" t="str">
        <f>_xlfn.XLOOKUP(B309,STUDIES!$A$3:$A$1063,STUDIES!$G$3:$G$1063,"Not Found!")</f>
        <v>A</v>
      </c>
      <c r="G309" s="273" t="s">
        <v>147</v>
      </c>
      <c r="H309" s="273">
        <v>16</v>
      </c>
      <c r="I309" s="273">
        <v>111</v>
      </c>
      <c r="K309" s="268">
        <v>21.4</v>
      </c>
      <c r="M309" s="268">
        <v>6</v>
      </c>
      <c r="Q309" s="275" t="s">
        <v>90</v>
      </c>
      <c r="R309" s="276">
        <v>-10.8</v>
      </c>
      <c r="S309" s="268">
        <v>0.7</v>
      </c>
    </row>
    <row r="310" spans="1:47" ht="18" customHeight="1" x14ac:dyDescent="0.35">
      <c r="A310" s="274">
        <f>MATCH(B310,STUDIES!$A$3:$A$502,0)</f>
        <v>30</v>
      </c>
      <c r="B310" s="336" t="s">
        <v>837</v>
      </c>
      <c r="C310" s="461"/>
      <c r="D310" s="316" t="s">
        <v>1044</v>
      </c>
      <c r="E310" s="272" t="s">
        <v>695</v>
      </c>
      <c r="F310" s="155" t="str">
        <f>_xlfn.XLOOKUP(B310,STUDIES!$A$3:$A$1063,STUDIES!$G$3:$G$1063,"Not Found!")</f>
        <v>A</v>
      </c>
      <c r="G310" s="273" t="s">
        <v>147</v>
      </c>
      <c r="H310" s="273">
        <v>16</v>
      </c>
      <c r="I310" s="273">
        <v>111</v>
      </c>
      <c r="K310" s="268">
        <v>7</v>
      </c>
      <c r="M310" s="268">
        <v>2</v>
      </c>
      <c r="Q310" s="275" t="s">
        <v>90</v>
      </c>
      <c r="R310" s="276">
        <v>-3.7</v>
      </c>
      <c r="S310" s="268">
        <v>0.2</v>
      </c>
    </row>
    <row r="311" spans="1:47" ht="18" customHeight="1" x14ac:dyDescent="0.35">
      <c r="A311" s="274">
        <f>MATCH(B311,STUDIES!$A$3:$A$502,0)</f>
        <v>30</v>
      </c>
      <c r="B311" s="272" t="s">
        <v>837</v>
      </c>
      <c r="D311" s="281" t="s">
        <v>1044</v>
      </c>
      <c r="E311" s="272" t="s">
        <v>1163</v>
      </c>
      <c r="F311" s="155" t="str">
        <f>_xlfn.XLOOKUP(B311,STUDIES!$A$3:$A$1063,STUDIES!$G$3:$G$1063,"Not Found!")</f>
        <v>A</v>
      </c>
      <c r="G311" s="273" t="s">
        <v>147</v>
      </c>
      <c r="H311" s="273">
        <v>16</v>
      </c>
      <c r="I311" s="273">
        <v>111</v>
      </c>
      <c r="J311" s="274">
        <v>4</v>
      </c>
      <c r="Q311" s="275"/>
      <c r="R311" s="276"/>
    </row>
    <row r="312" spans="1:47" ht="18" customHeight="1" x14ac:dyDescent="0.35">
      <c r="A312" s="274">
        <f>MATCH(B312,STUDIES!$A$3:$A$502,0)</f>
        <v>30</v>
      </c>
      <c r="B312" s="272" t="s">
        <v>837</v>
      </c>
      <c r="D312" s="281" t="s">
        <v>1044</v>
      </c>
      <c r="E312" s="272" t="s">
        <v>1167</v>
      </c>
      <c r="F312" s="155" t="str">
        <f>_xlfn.XLOOKUP(B312,STUDIES!$A$3:$A$1063,STUDIES!$G$3:$G$1063,"Not Found!")</f>
        <v>A</v>
      </c>
      <c r="G312" s="273" t="s">
        <v>147</v>
      </c>
      <c r="H312" s="273">
        <v>16</v>
      </c>
      <c r="I312" s="273">
        <v>111</v>
      </c>
      <c r="J312" s="274">
        <v>5</v>
      </c>
      <c r="Q312" s="275"/>
      <c r="R312" s="276"/>
    </row>
    <row r="313" spans="1:47" ht="18" customHeight="1" x14ac:dyDescent="0.35">
      <c r="A313" s="274">
        <f>MATCH(B313,STUDIES!$A$3:$A$502,0)</f>
        <v>30</v>
      </c>
      <c r="B313" s="272" t="s">
        <v>837</v>
      </c>
      <c r="D313" s="316" t="s">
        <v>148</v>
      </c>
      <c r="E313" s="272" t="s">
        <v>154</v>
      </c>
      <c r="F313" s="155" t="str">
        <f>_xlfn.XLOOKUP(B313,STUDIES!$A$3:$A$1063,STUDIES!$G$3:$G$1063,"Not Found!")</f>
        <v>A</v>
      </c>
      <c r="G313" s="273" t="s">
        <v>147</v>
      </c>
      <c r="H313" s="273">
        <v>16</v>
      </c>
      <c r="I313" s="273">
        <v>109</v>
      </c>
      <c r="K313" s="294">
        <v>15</v>
      </c>
      <c r="L313" s="294"/>
      <c r="M313" s="294">
        <v>7.9</v>
      </c>
      <c r="Q313" s="275" t="s">
        <v>90</v>
      </c>
      <c r="R313" s="313">
        <v>-5.6</v>
      </c>
      <c r="S313" s="294">
        <v>0.6</v>
      </c>
      <c r="T313" s="294"/>
      <c r="U313" s="294"/>
      <c r="V313" s="294"/>
      <c r="W313" s="294"/>
    </row>
    <row r="314" spans="1:47" ht="18" customHeight="1" x14ac:dyDescent="0.35">
      <c r="A314" s="274">
        <f>MATCH(B314,STUDIES!$A$3:$A$502,0)</f>
        <v>30</v>
      </c>
      <c r="B314" s="272" t="s">
        <v>837</v>
      </c>
      <c r="D314" s="316" t="s">
        <v>148</v>
      </c>
      <c r="E314" s="272" t="s">
        <v>151</v>
      </c>
      <c r="F314" s="155" t="str">
        <f>_xlfn.XLOOKUP(B314,STUDIES!$A$3:$A$1063,STUDIES!$G$3:$G$1063,"Not Found!")</f>
        <v>A</v>
      </c>
      <c r="G314" s="273" t="s">
        <v>147</v>
      </c>
      <c r="H314" s="273">
        <v>16</v>
      </c>
      <c r="I314" s="273">
        <v>109</v>
      </c>
      <c r="K314" s="268">
        <v>28.5</v>
      </c>
      <c r="M314" s="268">
        <v>12.3</v>
      </c>
      <c r="Q314" s="275" t="s">
        <v>92</v>
      </c>
      <c r="R314" s="276"/>
      <c r="AJ314" s="276">
        <v>-45.1</v>
      </c>
      <c r="AK314" s="268">
        <v>3.8</v>
      </c>
    </row>
    <row r="315" spans="1:47" ht="18" customHeight="1" x14ac:dyDescent="0.35">
      <c r="A315" s="274">
        <f>MATCH(B315,STUDIES!$A$3:$A$502,0)</f>
        <v>30</v>
      </c>
      <c r="B315" s="336" t="s">
        <v>837</v>
      </c>
      <c r="C315" s="461"/>
      <c r="D315" s="316" t="s">
        <v>148</v>
      </c>
      <c r="E315" s="272" t="s">
        <v>153</v>
      </c>
      <c r="F315" s="155" t="str">
        <f>_xlfn.XLOOKUP(B315,STUDIES!$A$3:$A$1063,STUDIES!$G$3:$G$1063,"Not Found!")</f>
        <v>A</v>
      </c>
      <c r="G315" s="273" t="s">
        <v>147</v>
      </c>
      <c r="H315" s="273">
        <v>16</v>
      </c>
      <c r="I315" s="273">
        <v>109</v>
      </c>
      <c r="K315" s="268">
        <v>20.9</v>
      </c>
      <c r="M315" s="268">
        <v>6.7</v>
      </c>
      <c r="Q315" s="275" t="s">
        <v>90</v>
      </c>
      <c r="R315" s="276">
        <v>-5.6</v>
      </c>
      <c r="S315" s="268">
        <v>0.8</v>
      </c>
    </row>
    <row r="316" spans="1:47" ht="18" customHeight="1" x14ac:dyDescent="0.35">
      <c r="A316" s="274">
        <f>MATCH(B316,STUDIES!$A$3:$A$502,0)</f>
        <v>30</v>
      </c>
      <c r="B316" s="336" t="s">
        <v>837</v>
      </c>
      <c r="C316" s="461"/>
      <c r="D316" s="316" t="s">
        <v>148</v>
      </c>
      <c r="E316" s="272" t="s">
        <v>695</v>
      </c>
      <c r="F316" s="155" t="str">
        <f>_xlfn.XLOOKUP(B316,STUDIES!$A$3:$A$1063,STUDIES!$G$3:$G$1063,"Not Found!")</f>
        <v>A</v>
      </c>
      <c r="G316" s="273" t="s">
        <v>147</v>
      </c>
      <c r="H316" s="273">
        <v>16</v>
      </c>
      <c r="I316" s="273">
        <v>109</v>
      </c>
      <c r="K316" s="268">
        <v>7.4</v>
      </c>
      <c r="M316" s="268">
        <v>1.7</v>
      </c>
      <c r="Q316" s="275" t="s">
        <v>90</v>
      </c>
      <c r="R316" s="276">
        <v>-2</v>
      </c>
      <c r="S316" s="268">
        <v>0.2</v>
      </c>
    </row>
    <row r="317" spans="1:47" ht="18" customHeight="1" x14ac:dyDescent="0.35">
      <c r="A317" s="274">
        <f>MATCH(B317,STUDIES!$A$3:$A$502,0)</f>
        <v>30</v>
      </c>
      <c r="B317" s="272" t="s">
        <v>837</v>
      </c>
      <c r="D317" s="281" t="s">
        <v>148</v>
      </c>
      <c r="E317" s="272" t="s">
        <v>1163</v>
      </c>
      <c r="F317" s="155" t="str">
        <f>_xlfn.XLOOKUP(B317,STUDIES!$A$3:$A$1063,STUDIES!$G$3:$G$1063,"Not Found!")</f>
        <v>A</v>
      </c>
      <c r="G317" s="273" t="s">
        <v>147</v>
      </c>
      <c r="H317" s="273">
        <v>16</v>
      </c>
      <c r="I317" s="273">
        <v>108</v>
      </c>
      <c r="J317" s="274">
        <v>4</v>
      </c>
      <c r="Q317" s="275"/>
    </row>
    <row r="318" spans="1:47" ht="18" customHeight="1" x14ac:dyDescent="0.35">
      <c r="A318" s="274">
        <f>MATCH(B318,STUDIES!$A$3:$A$502,0)</f>
        <v>30</v>
      </c>
      <c r="B318" s="272" t="s">
        <v>837</v>
      </c>
      <c r="D318" s="281" t="s">
        <v>148</v>
      </c>
      <c r="E318" s="272" t="s">
        <v>1167</v>
      </c>
      <c r="F318" s="155" t="str">
        <f>_xlfn.XLOOKUP(B318,STUDIES!$A$3:$A$1063,STUDIES!$G$3:$G$1063,"Not Found!")</f>
        <v>A</v>
      </c>
      <c r="G318" s="273" t="s">
        <v>147</v>
      </c>
      <c r="H318" s="273">
        <v>16</v>
      </c>
      <c r="I318" s="273">
        <v>108</v>
      </c>
      <c r="J318" s="274">
        <v>1</v>
      </c>
      <c r="Q318" s="275"/>
    </row>
    <row r="319" spans="1:47" ht="18" customHeight="1" x14ac:dyDescent="0.35">
      <c r="A319" s="274">
        <f>MATCH(B319,STUDIES!$A$3:$A$502,0)</f>
        <v>31</v>
      </c>
      <c r="B319" s="270" t="s">
        <v>352</v>
      </c>
      <c r="C319" s="459"/>
      <c r="D319" s="278" t="s">
        <v>1077</v>
      </c>
      <c r="E319" s="256" t="s">
        <v>151</v>
      </c>
      <c r="F319" s="155" t="str">
        <f>_xlfn.XLOOKUP(B319,STUDIES!$A$3:$A$1063,STUDIES!$G$3:$G$1063,"Not Found!")</f>
        <v>A</v>
      </c>
      <c r="G319" s="257" t="s">
        <v>147</v>
      </c>
      <c r="H319" s="257">
        <v>12</v>
      </c>
      <c r="I319" s="257">
        <v>33</v>
      </c>
      <c r="J319" s="258"/>
      <c r="K319" s="259">
        <v>32.4</v>
      </c>
      <c r="L319" s="259"/>
      <c r="M319" s="259">
        <v>16.100000000000001</v>
      </c>
      <c r="N319" s="259"/>
      <c r="O319" s="259"/>
      <c r="P319" s="259"/>
      <c r="Q319" s="271" t="s">
        <v>92</v>
      </c>
      <c r="R319" s="289"/>
      <c r="S319" s="259"/>
      <c r="T319" s="259"/>
      <c r="U319" s="259"/>
      <c r="V319" s="259"/>
      <c r="W319" s="259"/>
      <c r="X319" s="264"/>
      <c r="Y319" s="259"/>
      <c r="Z319" s="259"/>
      <c r="AA319" s="259"/>
      <c r="AB319" s="259"/>
      <c r="AC319" s="259"/>
      <c r="AD319" s="264"/>
      <c r="AE319" s="259"/>
      <c r="AF319" s="259"/>
      <c r="AG319" s="259"/>
      <c r="AH319" s="259"/>
      <c r="AI319" s="259"/>
      <c r="AJ319" s="265">
        <v>-23</v>
      </c>
      <c r="AK319" s="266">
        <v>7.5</v>
      </c>
      <c r="AL319" s="263"/>
      <c r="AM319" s="263"/>
      <c r="AN319" s="263"/>
      <c r="AO319" s="267"/>
      <c r="AP319" s="266"/>
      <c r="AQ319" s="266"/>
      <c r="AR319" s="266"/>
      <c r="AS319" s="266"/>
      <c r="AT319" s="266"/>
      <c r="AU319" s="267"/>
    </row>
    <row r="320" spans="1:47" ht="18" customHeight="1" x14ac:dyDescent="0.35">
      <c r="A320" s="274">
        <f>MATCH(B320,STUDIES!$A$3:$A$502,0)</f>
        <v>31</v>
      </c>
      <c r="B320" s="270" t="s">
        <v>352</v>
      </c>
      <c r="C320" s="459"/>
      <c r="D320" s="278" t="s">
        <v>1077</v>
      </c>
      <c r="E320" s="256" t="s">
        <v>297</v>
      </c>
      <c r="F320" s="155" t="str">
        <f>_xlfn.XLOOKUP(B320,STUDIES!$A$3:$A$1063,STUDIES!$G$3:$G$1063,"Not Found!")</f>
        <v>A</v>
      </c>
      <c r="G320" s="257" t="s">
        <v>147</v>
      </c>
      <c r="H320" s="257">
        <v>12</v>
      </c>
      <c r="I320" s="257">
        <v>33</v>
      </c>
      <c r="J320" s="258"/>
      <c r="K320" s="259">
        <v>75.2</v>
      </c>
      <c r="L320" s="263">
        <v>12</v>
      </c>
      <c r="M320" s="263"/>
      <c r="N320" s="259"/>
      <c r="O320" s="259"/>
      <c r="P320" s="259"/>
      <c r="Q320" s="271" t="s">
        <v>92</v>
      </c>
      <c r="R320" s="289"/>
      <c r="S320" s="259"/>
      <c r="T320" s="259"/>
      <c r="U320" s="259"/>
      <c r="V320" s="259"/>
      <c r="W320" s="259"/>
      <c r="X320" s="264"/>
      <c r="Y320" s="259"/>
      <c r="Z320" s="259"/>
      <c r="AA320" s="259"/>
      <c r="AB320" s="259"/>
      <c r="AC320" s="259"/>
      <c r="AD320" s="264"/>
      <c r="AE320" s="259"/>
      <c r="AF320" s="259"/>
      <c r="AG320" s="259"/>
      <c r="AH320" s="259"/>
      <c r="AI320" s="259"/>
      <c r="AJ320" s="265">
        <v>-43.7</v>
      </c>
      <c r="AK320" s="266">
        <v>4.9000000000000004</v>
      </c>
      <c r="AL320" s="266"/>
      <c r="AM320" s="266"/>
      <c r="AN320" s="266"/>
      <c r="AO320" s="267"/>
      <c r="AP320" s="266"/>
      <c r="AQ320" s="266"/>
      <c r="AR320" s="266"/>
      <c r="AS320" s="266"/>
      <c r="AT320" s="266"/>
      <c r="AU320" s="267"/>
    </row>
    <row r="321" spans="1:47" ht="18" customHeight="1" x14ac:dyDescent="0.35">
      <c r="A321" s="274">
        <f>MATCH(B321,STUDIES!$A$3:$A$502,0)</f>
        <v>31</v>
      </c>
      <c r="B321" s="272" t="s">
        <v>352</v>
      </c>
      <c r="D321" s="281" t="s">
        <v>1077</v>
      </c>
      <c r="E321" s="272" t="s">
        <v>1163</v>
      </c>
      <c r="F321" s="155" t="str">
        <f>_xlfn.XLOOKUP(B321,STUDIES!$A$3:$A$1063,STUDIES!$G$3:$G$1063,"Not Found!")</f>
        <v>A</v>
      </c>
      <c r="G321" s="273" t="s">
        <v>147</v>
      </c>
      <c r="H321" s="273">
        <v>12</v>
      </c>
      <c r="I321" s="273">
        <v>53</v>
      </c>
      <c r="J321" s="274">
        <v>1</v>
      </c>
      <c r="Q321" s="275"/>
      <c r="R321" s="276"/>
    </row>
    <row r="322" spans="1:47" ht="18" customHeight="1" x14ac:dyDescent="0.35">
      <c r="A322" s="274">
        <f>MATCH(B322,STUDIES!$A$3:$A$502,0)</f>
        <v>31</v>
      </c>
      <c r="B322" s="272" t="s">
        <v>352</v>
      </c>
      <c r="D322" s="281" t="s">
        <v>1077</v>
      </c>
      <c r="E322" s="272" t="s">
        <v>1167</v>
      </c>
      <c r="F322" s="155" t="str">
        <f>_xlfn.XLOOKUP(B322,STUDIES!$A$3:$A$1063,STUDIES!$G$3:$G$1063,"Not Found!")</f>
        <v>A</v>
      </c>
      <c r="G322" s="273" t="s">
        <v>147</v>
      </c>
      <c r="H322" s="273">
        <v>12</v>
      </c>
      <c r="I322" s="273">
        <v>53</v>
      </c>
      <c r="J322" s="274">
        <v>5</v>
      </c>
      <c r="Q322" s="275"/>
      <c r="R322" s="276"/>
    </row>
    <row r="323" spans="1:47" ht="18" customHeight="1" x14ac:dyDescent="0.35">
      <c r="A323" s="274">
        <f>MATCH(B323,STUDIES!$A$3:$A$502,0)</f>
        <v>31</v>
      </c>
      <c r="B323" s="270" t="s">
        <v>352</v>
      </c>
      <c r="C323" s="459"/>
      <c r="D323" s="278" t="s">
        <v>1078</v>
      </c>
      <c r="E323" s="256" t="s">
        <v>151</v>
      </c>
      <c r="F323" s="155" t="str">
        <f>_xlfn.XLOOKUP(B323,STUDIES!$A$3:$A$1063,STUDIES!$G$3:$G$1063,"Not Found!")</f>
        <v>A</v>
      </c>
      <c r="G323" s="257" t="s">
        <v>147</v>
      </c>
      <c r="H323" s="257">
        <v>12</v>
      </c>
      <c r="I323" s="257">
        <v>35</v>
      </c>
      <c r="J323" s="258"/>
      <c r="K323" s="259">
        <v>28.6</v>
      </c>
      <c r="L323" s="259"/>
      <c r="M323" s="259">
        <v>15</v>
      </c>
      <c r="N323" s="259"/>
      <c r="O323" s="259"/>
      <c r="P323" s="259"/>
      <c r="Q323" s="271" t="s">
        <v>92</v>
      </c>
      <c r="R323" s="264"/>
      <c r="S323" s="259"/>
      <c r="T323" s="259"/>
      <c r="U323" s="259"/>
      <c r="V323" s="259"/>
      <c r="W323" s="259"/>
      <c r="X323" s="264"/>
      <c r="Y323" s="259"/>
      <c r="Z323" s="259"/>
      <c r="AA323" s="259"/>
      <c r="AB323" s="259"/>
      <c r="AC323" s="259"/>
      <c r="AD323" s="264"/>
      <c r="AE323" s="259"/>
      <c r="AF323" s="259"/>
      <c r="AG323" s="259"/>
      <c r="AH323" s="259"/>
      <c r="AI323" s="259"/>
      <c r="AJ323" s="265">
        <v>-42.3</v>
      </c>
      <c r="AK323" s="266">
        <v>7.3</v>
      </c>
      <c r="AL323" s="263"/>
      <c r="AM323" s="263"/>
      <c r="AN323" s="263"/>
      <c r="AO323" s="267"/>
      <c r="AP323" s="266"/>
      <c r="AQ323" s="266"/>
      <c r="AR323" s="266"/>
      <c r="AS323" s="266"/>
      <c r="AT323" s="266"/>
      <c r="AU323" s="267"/>
    </row>
    <row r="324" spans="1:47" ht="18" customHeight="1" x14ac:dyDescent="0.35">
      <c r="A324" s="274">
        <f>MATCH(B324,STUDIES!$A$3:$A$502,0)</f>
        <v>31</v>
      </c>
      <c r="B324" s="270" t="s">
        <v>352</v>
      </c>
      <c r="C324" s="459"/>
      <c r="D324" s="278" t="s">
        <v>1078</v>
      </c>
      <c r="E324" s="256" t="s">
        <v>297</v>
      </c>
      <c r="F324" s="155" t="str">
        <f>_xlfn.XLOOKUP(B324,STUDIES!$A$3:$A$1063,STUDIES!$G$3:$G$1063,"Not Found!")</f>
        <v>A</v>
      </c>
      <c r="G324" s="257" t="s">
        <v>147</v>
      </c>
      <c r="H324" s="257">
        <v>12</v>
      </c>
      <c r="I324" s="257">
        <v>35</v>
      </c>
      <c r="J324" s="258"/>
      <c r="K324" s="259">
        <v>75.8</v>
      </c>
      <c r="L324" s="319">
        <v>12.7</v>
      </c>
      <c r="M324" s="263"/>
      <c r="N324" s="259"/>
      <c r="O324" s="259"/>
      <c r="P324" s="259"/>
      <c r="Q324" s="271" t="s">
        <v>92</v>
      </c>
      <c r="R324" s="264"/>
      <c r="S324" s="259"/>
      <c r="T324" s="259"/>
      <c r="U324" s="259"/>
      <c r="V324" s="259"/>
      <c r="W324" s="259"/>
      <c r="X324" s="264"/>
      <c r="Y324" s="259"/>
      <c r="Z324" s="259"/>
      <c r="AA324" s="259"/>
      <c r="AB324" s="259"/>
      <c r="AC324" s="259"/>
      <c r="AD324" s="264"/>
      <c r="AE324" s="259"/>
      <c r="AF324" s="259"/>
      <c r="AG324" s="259"/>
      <c r="AH324" s="259"/>
      <c r="AI324" s="259"/>
      <c r="AJ324" s="265">
        <v>-59.8</v>
      </c>
      <c r="AK324" s="266">
        <v>4.8</v>
      </c>
      <c r="AL324" s="266"/>
      <c r="AM324" s="266"/>
      <c r="AN324" s="266"/>
      <c r="AO324" s="267"/>
      <c r="AP324" s="266"/>
      <c r="AQ324" s="266"/>
      <c r="AR324" s="266"/>
      <c r="AS324" s="266"/>
      <c r="AT324" s="266"/>
      <c r="AU324" s="267"/>
    </row>
    <row r="325" spans="1:47" ht="18" customHeight="1" x14ac:dyDescent="0.35">
      <c r="A325" s="274">
        <f>MATCH(B325,STUDIES!$A$3:$A$502,0)</f>
        <v>31</v>
      </c>
      <c r="B325" s="272" t="s">
        <v>352</v>
      </c>
      <c r="D325" s="281" t="s">
        <v>1078</v>
      </c>
      <c r="E325" s="272" t="s">
        <v>1163</v>
      </c>
      <c r="F325" s="155" t="str">
        <f>_xlfn.XLOOKUP(B325,STUDIES!$A$3:$A$1063,STUDIES!$G$3:$G$1063,"Not Found!")</f>
        <v>A</v>
      </c>
      <c r="G325" s="273" t="s">
        <v>147</v>
      </c>
      <c r="H325" s="273">
        <v>12</v>
      </c>
      <c r="I325" s="273">
        <v>54</v>
      </c>
      <c r="J325" s="274">
        <v>0</v>
      </c>
      <c r="Q325" s="275"/>
      <c r="R325" s="276"/>
    </row>
    <row r="326" spans="1:47" ht="18" customHeight="1" x14ac:dyDescent="0.35">
      <c r="A326" s="274">
        <f>MATCH(B326,STUDIES!$A$3:$A$502,0)</f>
        <v>31</v>
      </c>
      <c r="B326" s="272" t="s">
        <v>352</v>
      </c>
      <c r="D326" s="281" t="s">
        <v>1078</v>
      </c>
      <c r="E326" s="272" t="s">
        <v>1167</v>
      </c>
      <c r="F326" s="155" t="str">
        <f>_xlfn.XLOOKUP(B326,STUDIES!$A$3:$A$1063,STUDIES!$G$3:$G$1063,"Not Found!")</f>
        <v>A</v>
      </c>
      <c r="G326" s="273" t="s">
        <v>147</v>
      </c>
      <c r="H326" s="273">
        <v>12</v>
      </c>
      <c r="I326" s="273">
        <v>54</v>
      </c>
      <c r="J326" s="274">
        <v>3</v>
      </c>
      <c r="Q326" s="275"/>
      <c r="R326" s="276"/>
    </row>
    <row r="327" spans="1:47" ht="18" customHeight="1" x14ac:dyDescent="0.35">
      <c r="A327" s="274">
        <f>MATCH(B327,STUDIES!$A$3:$A$502,0)</f>
        <v>31</v>
      </c>
      <c r="B327" s="270" t="s">
        <v>352</v>
      </c>
      <c r="C327" s="459"/>
      <c r="D327" s="278" t="s">
        <v>1079</v>
      </c>
      <c r="E327" s="256" t="s">
        <v>151</v>
      </c>
      <c r="F327" s="155" t="str">
        <f>_xlfn.XLOOKUP(B327,STUDIES!$A$3:$A$1063,STUDIES!$G$3:$G$1063,"Not Found!")</f>
        <v>A</v>
      </c>
      <c r="G327" s="257" t="s">
        <v>147</v>
      </c>
      <c r="H327" s="257">
        <v>12</v>
      </c>
      <c r="I327" s="257">
        <v>32</v>
      </c>
      <c r="J327" s="258"/>
      <c r="K327" s="259">
        <v>28.2</v>
      </c>
      <c r="L327" s="259"/>
      <c r="M327" s="259">
        <v>12.3</v>
      </c>
      <c r="N327" s="259"/>
      <c r="O327" s="259"/>
      <c r="P327" s="259"/>
      <c r="Q327" s="271" t="s">
        <v>92</v>
      </c>
      <c r="R327" s="264"/>
      <c r="S327" s="259"/>
      <c r="T327" s="259"/>
      <c r="U327" s="259"/>
      <c r="V327" s="259"/>
      <c r="W327" s="259"/>
      <c r="X327" s="264"/>
      <c r="Y327" s="259"/>
      <c r="Z327" s="259"/>
      <c r="AA327" s="259"/>
      <c r="AB327" s="259"/>
      <c r="AC327" s="259"/>
      <c r="AD327" s="264"/>
      <c r="AE327" s="259"/>
      <c r="AF327" s="259"/>
      <c r="AG327" s="259"/>
      <c r="AH327" s="259"/>
      <c r="AI327" s="259"/>
      <c r="AJ327" s="265">
        <v>-40.9</v>
      </c>
      <c r="AK327" s="266">
        <v>7.5</v>
      </c>
      <c r="AL327" s="263"/>
      <c r="AM327" s="263"/>
      <c r="AN327" s="263"/>
      <c r="AO327" s="267"/>
      <c r="AP327" s="266"/>
      <c r="AQ327" s="266"/>
      <c r="AR327" s="266"/>
      <c r="AS327" s="266"/>
      <c r="AT327" s="266"/>
      <c r="AU327" s="267"/>
    </row>
    <row r="328" spans="1:47" ht="18" customHeight="1" x14ac:dyDescent="0.35">
      <c r="A328" s="274">
        <f>MATCH(B328,STUDIES!$A$3:$A$502,0)</f>
        <v>31</v>
      </c>
      <c r="B328" s="270" t="s">
        <v>352</v>
      </c>
      <c r="C328" s="459"/>
      <c r="D328" s="278" t="s">
        <v>1079</v>
      </c>
      <c r="E328" s="256" t="s">
        <v>297</v>
      </c>
      <c r="F328" s="155" t="str">
        <f>_xlfn.XLOOKUP(B328,STUDIES!$A$3:$A$1063,STUDIES!$G$3:$G$1063,"Not Found!")</f>
        <v>A</v>
      </c>
      <c r="G328" s="257" t="s">
        <v>147</v>
      </c>
      <c r="H328" s="257">
        <v>12</v>
      </c>
      <c r="I328" s="257">
        <v>32</v>
      </c>
      <c r="J328" s="258"/>
      <c r="K328" s="259">
        <v>76.2</v>
      </c>
      <c r="L328" s="319">
        <v>11.4</v>
      </c>
      <c r="M328" s="263"/>
      <c r="N328" s="259"/>
      <c r="O328" s="259"/>
      <c r="P328" s="259"/>
      <c r="Q328" s="271" t="s">
        <v>92</v>
      </c>
      <c r="R328" s="264"/>
      <c r="S328" s="259"/>
      <c r="T328" s="259"/>
      <c r="U328" s="259"/>
      <c r="V328" s="259"/>
      <c r="W328" s="259"/>
      <c r="X328" s="264"/>
      <c r="Y328" s="259"/>
      <c r="Z328" s="259"/>
      <c r="AA328" s="259"/>
      <c r="AB328" s="259"/>
      <c r="AC328" s="259"/>
      <c r="AD328" s="264"/>
      <c r="AE328" s="259"/>
      <c r="AF328" s="259"/>
      <c r="AG328" s="259"/>
      <c r="AH328" s="259"/>
      <c r="AI328" s="259"/>
      <c r="AJ328" s="265">
        <v>-63.1</v>
      </c>
      <c r="AK328" s="266">
        <v>5</v>
      </c>
      <c r="AL328" s="266"/>
      <c r="AM328" s="266"/>
      <c r="AN328" s="266"/>
      <c r="AO328" s="267"/>
      <c r="AP328" s="266"/>
      <c r="AQ328" s="266"/>
      <c r="AR328" s="266"/>
      <c r="AS328" s="266"/>
      <c r="AT328" s="266"/>
      <c r="AU328" s="267"/>
    </row>
    <row r="329" spans="1:47" ht="18" customHeight="1" x14ac:dyDescent="0.35">
      <c r="A329" s="274">
        <f>MATCH(B329,STUDIES!$A$3:$A$502,0)</f>
        <v>31</v>
      </c>
      <c r="B329" s="272" t="s">
        <v>352</v>
      </c>
      <c r="D329" s="281" t="s">
        <v>1079</v>
      </c>
      <c r="E329" s="272" t="s">
        <v>1163</v>
      </c>
      <c r="F329" s="155" t="str">
        <f>_xlfn.XLOOKUP(B329,STUDIES!$A$3:$A$1063,STUDIES!$G$3:$G$1063,"Not Found!")</f>
        <v>A</v>
      </c>
      <c r="G329" s="273" t="s">
        <v>147</v>
      </c>
      <c r="H329" s="273">
        <v>12</v>
      </c>
      <c r="I329" s="273">
        <v>52</v>
      </c>
      <c r="J329" s="274">
        <v>3</v>
      </c>
      <c r="Q329" s="275"/>
      <c r="R329" s="276"/>
    </row>
    <row r="330" spans="1:47" ht="18" customHeight="1" x14ac:dyDescent="0.35">
      <c r="A330" s="274">
        <f>MATCH(B330,STUDIES!$A$3:$A$502,0)</f>
        <v>31</v>
      </c>
      <c r="B330" s="272" t="s">
        <v>352</v>
      </c>
      <c r="D330" s="281" t="s">
        <v>1079</v>
      </c>
      <c r="E330" s="272" t="s">
        <v>1167</v>
      </c>
      <c r="F330" s="155" t="str">
        <f>_xlfn.XLOOKUP(B330,STUDIES!$A$3:$A$1063,STUDIES!$G$3:$G$1063,"Not Found!")</f>
        <v>A</v>
      </c>
      <c r="G330" s="273" t="s">
        <v>147</v>
      </c>
      <c r="H330" s="273">
        <v>12</v>
      </c>
      <c r="I330" s="273">
        <v>52</v>
      </c>
      <c r="J330" s="274">
        <v>4</v>
      </c>
      <c r="Q330" s="275"/>
      <c r="R330" s="276"/>
    </row>
    <row r="331" spans="1:47" ht="18" customHeight="1" x14ac:dyDescent="0.35">
      <c r="A331" s="274">
        <f>MATCH(B331,STUDIES!$A$3:$A$502,0)</f>
        <v>31</v>
      </c>
      <c r="B331" s="272" t="s">
        <v>352</v>
      </c>
      <c r="D331" s="281" t="s">
        <v>1080</v>
      </c>
      <c r="E331" s="272" t="s">
        <v>1163</v>
      </c>
      <c r="F331" s="155" t="str">
        <f>_xlfn.XLOOKUP(B331,STUDIES!$A$3:$A$1063,STUDIES!$G$3:$G$1063,"Not Found!")</f>
        <v>A</v>
      </c>
      <c r="G331" s="273" t="s">
        <v>147</v>
      </c>
      <c r="H331" s="273">
        <v>12</v>
      </c>
      <c r="I331" s="273">
        <v>52</v>
      </c>
      <c r="J331" s="274">
        <v>2</v>
      </c>
    </row>
    <row r="332" spans="1:47" ht="18" customHeight="1" x14ac:dyDescent="0.35">
      <c r="A332" s="274">
        <f>MATCH(B332,STUDIES!$A$3:$A$502,0)</f>
        <v>31</v>
      </c>
      <c r="B332" s="272" t="s">
        <v>352</v>
      </c>
      <c r="D332" s="281" t="s">
        <v>1080</v>
      </c>
      <c r="E332" s="272" t="s">
        <v>1167</v>
      </c>
      <c r="F332" s="155" t="str">
        <f>_xlfn.XLOOKUP(B332,STUDIES!$A$3:$A$1063,STUDIES!$G$3:$G$1063,"Not Found!")</f>
        <v>A</v>
      </c>
      <c r="G332" s="273" t="s">
        <v>147</v>
      </c>
      <c r="H332" s="273">
        <v>12</v>
      </c>
      <c r="I332" s="273">
        <v>52</v>
      </c>
      <c r="J332" s="274">
        <v>3</v>
      </c>
    </row>
    <row r="333" spans="1:47" ht="18" customHeight="1" x14ac:dyDescent="0.35">
      <c r="A333" s="274">
        <f>MATCH(B333,STUDIES!$A$3:$A$502,0)</f>
        <v>31</v>
      </c>
      <c r="B333" s="270" t="s">
        <v>352</v>
      </c>
      <c r="C333" s="459"/>
      <c r="D333" s="278" t="s">
        <v>148</v>
      </c>
      <c r="E333" s="256" t="s">
        <v>151</v>
      </c>
      <c r="F333" s="155" t="str">
        <f>_xlfn.XLOOKUP(B333,STUDIES!$A$3:$A$1063,STUDIES!$G$3:$G$1063,"Not Found!")</f>
        <v>A</v>
      </c>
      <c r="G333" s="257" t="s">
        <v>147</v>
      </c>
      <c r="H333" s="257">
        <v>12</v>
      </c>
      <c r="I333" s="257">
        <v>26</v>
      </c>
      <c r="J333" s="258"/>
      <c r="K333" s="259">
        <v>29</v>
      </c>
      <c r="L333" s="259"/>
      <c r="M333" s="259">
        <v>14</v>
      </c>
      <c r="N333" s="259"/>
      <c r="O333" s="259"/>
      <c r="P333" s="259"/>
      <c r="Q333" s="279" t="s">
        <v>92</v>
      </c>
      <c r="R333" s="289"/>
      <c r="S333" s="259"/>
      <c r="T333" s="259"/>
      <c r="U333" s="259"/>
      <c r="V333" s="259"/>
      <c r="W333" s="259"/>
      <c r="X333" s="264"/>
      <c r="Y333" s="259"/>
      <c r="Z333" s="259"/>
      <c r="AA333" s="259"/>
      <c r="AB333" s="259"/>
      <c r="AC333" s="259"/>
      <c r="AD333" s="264"/>
      <c r="AE333" s="259"/>
      <c r="AF333" s="259"/>
      <c r="AG333" s="259"/>
      <c r="AH333" s="259"/>
      <c r="AI333" s="259"/>
      <c r="AJ333" s="265">
        <v>-26.6</v>
      </c>
      <c r="AK333" s="266">
        <v>8.1</v>
      </c>
      <c r="AL333" s="263"/>
      <c r="AM333" s="263"/>
      <c r="AN333" s="263"/>
      <c r="AO333" s="267"/>
      <c r="AP333" s="266"/>
      <c r="AQ333" s="266"/>
      <c r="AR333" s="266"/>
      <c r="AS333" s="266"/>
      <c r="AT333" s="266"/>
      <c r="AU333" s="267"/>
    </row>
    <row r="334" spans="1:47" ht="18" customHeight="1" x14ac:dyDescent="0.35">
      <c r="A334" s="274">
        <f>MATCH(B334,STUDIES!$A$3:$A$502,0)</f>
        <v>31</v>
      </c>
      <c r="B334" s="270" t="s">
        <v>352</v>
      </c>
      <c r="C334" s="459"/>
      <c r="D334" s="278" t="s">
        <v>148</v>
      </c>
      <c r="E334" s="256" t="s">
        <v>297</v>
      </c>
      <c r="F334" s="155" t="str">
        <f>_xlfn.XLOOKUP(B334,STUDIES!$A$3:$A$1063,STUDIES!$G$3:$G$1063,"Not Found!")</f>
        <v>A</v>
      </c>
      <c r="G334" s="257" t="s">
        <v>147</v>
      </c>
      <c r="H334" s="257">
        <v>12</v>
      </c>
      <c r="I334" s="257">
        <v>26</v>
      </c>
      <c r="J334" s="258"/>
      <c r="K334" s="259">
        <v>75.099999999999994</v>
      </c>
      <c r="L334" s="319">
        <v>11.9</v>
      </c>
      <c r="M334" s="263"/>
      <c r="N334" s="259"/>
      <c r="O334" s="259"/>
      <c r="P334" s="259"/>
      <c r="Q334" s="271" t="s">
        <v>92</v>
      </c>
      <c r="R334" s="289"/>
      <c r="S334" s="259"/>
      <c r="T334" s="259"/>
      <c r="U334" s="259"/>
      <c r="V334" s="259"/>
      <c r="W334" s="259"/>
      <c r="X334" s="264"/>
      <c r="Y334" s="259"/>
      <c r="Z334" s="259"/>
      <c r="AA334" s="259"/>
      <c r="AB334" s="259"/>
      <c r="AC334" s="259"/>
      <c r="AD334" s="264"/>
      <c r="AE334" s="259"/>
      <c r="AF334" s="259"/>
      <c r="AG334" s="259"/>
      <c r="AH334" s="259"/>
      <c r="AI334" s="259"/>
      <c r="AJ334" s="265">
        <v>-20.9</v>
      </c>
      <c r="AK334" s="266">
        <v>5.3</v>
      </c>
      <c r="AL334" s="266"/>
      <c r="AM334" s="266"/>
      <c r="AN334" s="266"/>
      <c r="AO334" s="267"/>
      <c r="AP334" s="266"/>
      <c r="AQ334" s="266"/>
      <c r="AR334" s="266"/>
      <c r="AS334" s="266"/>
      <c r="AT334" s="266"/>
      <c r="AU334" s="267"/>
    </row>
    <row r="335" spans="1:47" ht="18" customHeight="1" x14ac:dyDescent="0.35">
      <c r="A335" s="274">
        <f>MATCH(B335,STUDIES!$A$3:$A$502,0)</f>
        <v>31</v>
      </c>
      <c r="B335" s="272" t="s">
        <v>352</v>
      </c>
      <c r="D335" s="281" t="s">
        <v>148</v>
      </c>
      <c r="E335" s="272" t="s">
        <v>1163</v>
      </c>
      <c r="F335" s="155" t="str">
        <f>_xlfn.XLOOKUP(B335,STUDIES!$A$3:$A$1063,STUDIES!$G$3:$G$1063,"Not Found!")</f>
        <v>A</v>
      </c>
      <c r="G335" s="273" t="s">
        <v>147</v>
      </c>
      <c r="H335" s="273">
        <v>12</v>
      </c>
      <c r="I335" s="273">
        <v>53</v>
      </c>
      <c r="J335" s="274">
        <v>1</v>
      </c>
      <c r="Q335" s="275"/>
    </row>
    <row r="336" spans="1:47" ht="18" customHeight="1" x14ac:dyDescent="0.35">
      <c r="A336" s="274">
        <f>MATCH(B336,STUDIES!$A$3:$A$502,0)</f>
        <v>31</v>
      </c>
      <c r="B336" s="272" t="s">
        <v>352</v>
      </c>
      <c r="D336" s="281" t="s">
        <v>148</v>
      </c>
      <c r="E336" s="272" t="s">
        <v>1167</v>
      </c>
      <c r="F336" s="155" t="str">
        <f>_xlfn.XLOOKUP(B336,STUDIES!$A$3:$A$1063,STUDIES!$G$3:$G$1063,"Not Found!")</f>
        <v>A</v>
      </c>
      <c r="G336" s="273" t="s">
        <v>147</v>
      </c>
      <c r="H336" s="273">
        <v>12</v>
      </c>
      <c r="I336" s="273">
        <v>53</v>
      </c>
      <c r="J336" s="274">
        <v>1</v>
      </c>
      <c r="Q336" s="275"/>
      <c r="R336" s="276"/>
    </row>
    <row r="337" spans="1:47" ht="18" customHeight="1" x14ac:dyDescent="0.35">
      <c r="A337" s="274">
        <f>MATCH(B337,STUDIES!$A$3:$A$502,0)</f>
        <v>32</v>
      </c>
      <c r="B337" s="270" t="s">
        <v>361</v>
      </c>
      <c r="C337" s="459"/>
      <c r="D337" s="308" t="s">
        <v>148</v>
      </c>
      <c r="E337" s="256" t="s">
        <v>293</v>
      </c>
      <c r="F337" s="155" t="str">
        <f>_xlfn.XLOOKUP(B337,STUDIES!$A$3:$A$1063,STUDIES!$G$3:$G$1063,"Not Found!")</f>
        <v>A</v>
      </c>
      <c r="G337" s="257" t="s">
        <v>147</v>
      </c>
      <c r="H337" s="257">
        <v>12</v>
      </c>
      <c r="I337" s="257">
        <v>27</v>
      </c>
      <c r="J337" s="258"/>
      <c r="K337" s="259"/>
      <c r="L337" s="259"/>
      <c r="M337" s="259"/>
      <c r="N337" s="259"/>
      <c r="O337" s="259"/>
      <c r="P337" s="259"/>
      <c r="Q337" s="271" t="s">
        <v>90</v>
      </c>
      <c r="R337" s="264">
        <v>-2</v>
      </c>
      <c r="S337" s="259">
        <v>0.65</v>
      </c>
      <c r="T337" s="259"/>
      <c r="U337" s="259"/>
      <c r="V337" s="259"/>
      <c r="W337" s="259"/>
      <c r="X337" s="264"/>
      <c r="Y337" s="259"/>
      <c r="Z337" s="259"/>
      <c r="AA337" s="259"/>
      <c r="AB337" s="259"/>
      <c r="AC337" s="259"/>
      <c r="AD337" s="264"/>
      <c r="AE337" s="259"/>
      <c r="AF337" s="259"/>
      <c r="AG337" s="259"/>
      <c r="AH337" s="259"/>
      <c r="AI337" s="259"/>
      <c r="AJ337" s="265"/>
      <c r="AK337" s="266"/>
      <c r="AL337" s="266"/>
      <c r="AM337" s="266"/>
      <c r="AN337" s="266"/>
      <c r="AO337" s="267"/>
      <c r="AP337" s="266"/>
      <c r="AQ337" s="266"/>
      <c r="AR337" s="266"/>
      <c r="AS337" s="266"/>
      <c r="AT337" s="266"/>
      <c r="AU337" s="267"/>
    </row>
    <row r="338" spans="1:47" ht="18" customHeight="1" x14ac:dyDescent="0.35">
      <c r="A338" s="274">
        <f>MATCH(B338,STUDIES!$A$3:$A$502,0)</f>
        <v>32</v>
      </c>
      <c r="B338" s="270" t="s">
        <v>361</v>
      </c>
      <c r="C338" s="459"/>
      <c r="D338" s="278" t="s">
        <v>148</v>
      </c>
      <c r="E338" s="256" t="s">
        <v>292</v>
      </c>
      <c r="F338" s="155" t="str">
        <f>_xlfn.XLOOKUP(B338,STUDIES!$A$3:$A$1063,STUDIES!$G$3:$G$1063,"Not Found!")</f>
        <v>A</v>
      </c>
      <c r="G338" s="257" t="s">
        <v>147</v>
      </c>
      <c r="H338" s="257">
        <v>12</v>
      </c>
      <c r="I338" s="257">
        <v>27</v>
      </c>
      <c r="J338" s="258"/>
      <c r="K338" s="259"/>
      <c r="L338" s="259"/>
      <c r="M338" s="259"/>
      <c r="N338" s="259"/>
      <c r="O338" s="259"/>
      <c r="P338" s="259"/>
      <c r="Q338" s="271" t="s">
        <v>90</v>
      </c>
      <c r="R338" s="264">
        <v>-1.7</v>
      </c>
      <c r="S338" s="259">
        <v>0.57999999999999996</v>
      </c>
      <c r="T338" s="259"/>
      <c r="U338" s="259"/>
      <c r="V338" s="259"/>
      <c r="W338" s="259"/>
      <c r="X338" s="264"/>
      <c r="Y338" s="259"/>
      <c r="Z338" s="259"/>
      <c r="AA338" s="259"/>
      <c r="AB338" s="259"/>
      <c r="AC338" s="259"/>
      <c r="AD338" s="264"/>
      <c r="AE338" s="259"/>
      <c r="AF338" s="259"/>
      <c r="AG338" s="259"/>
      <c r="AH338" s="259"/>
      <c r="AI338" s="259"/>
      <c r="AJ338" s="265"/>
      <c r="AK338" s="266"/>
      <c r="AL338" s="266"/>
      <c r="AM338" s="266"/>
      <c r="AN338" s="266"/>
      <c r="AO338" s="267"/>
      <c r="AP338" s="266"/>
      <c r="AQ338" s="266"/>
      <c r="AR338" s="266"/>
      <c r="AS338" s="266"/>
      <c r="AT338" s="266"/>
      <c r="AU338" s="267"/>
    </row>
    <row r="339" spans="1:47" ht="18" customHeight="1" x14ac:dyDescent="0.35">
      <c r="A339" s="274">
        <f>MATCH(B339,STUDIES!$A$3:$A$502,0)</f>
        <v>32</v>
      </c>
      <c r="B339" s="270" t="s">
        <v>361</v>
      </c>
      <c r="C339" s="459"/>
      <c r="D339" s="278" t="s">
        <v>148</v>
      </c>
      <c r="E339" s="256" t="s">
        <v>154</v>
      </c>
      <c r="F339" s="155" t="str">
        <f>_xlfn.XLOOKUP(B339,STUDIES!$A$3:$A$1063,STUDIES!$G$3:$G$1063,"Not Found!")</f>
        <v>A</v>
      </c>
      <c r="G339" s="257" t="s">
        <v>147</v>
      </c>
      <c r="H339" s="257">
        <v>12</v>
      </c>
      <c r="I339" s="257">
        <v>27</v>
      </c>
      <c r="J339" s="258"/>
      <c r="K339" s="259"/>
      <c r="L339" s="259"/>
      <c r="M339" s="259"/>
      <c r="N339" s="259"/>
      <c r="O339" s="259"/>
      <c r="P339" s="259"/>
      <c r="Q339" s="271" t="s">
        <v>90</v>
      </c>
      <c r="R339" s="264">
        <v>-0.7</v>
      </c>
      <c r="S339" s="259">
        <v>0.69</v>
      </c>
      <c r="T339" s="259"/>
      <c r="U339" s="259"/>
      <c r="V339" s="259"/>
      <c r="W339" s="259"/>
      <c r="X339" s="264"/>
      <c r="Y339" s="259"/>
      <c r="Z339" s="259"/>
      <c r="AA339" s="259"/>
      <c r="AB339" s="259"/>
      <c r="AC339" s="259"/>
      <c r="AD339" s="264"/>
      <c r="AE339" s="259"/>
      <c r="AF339" s="259"/>
      <c r="AG339" s="259"/>
      <c r="AH339" s="259"/>
      <c r="AI339" s="259"/>
      <c r="AJ339" s="265"/>
      <c r="AK339" s="266"/>
      <c r="AL339" s="266"/>
      <c r="AM339" s="266"/>
      <c r="AN339" s="266"/>
      <c r="AO339" s="267"/>
      <c r="AP339" s="266"/>
      <c r="AQ339" s="266"/>
      <c r="AR339" s="266"/>
      <c r="AS339" s="266"/>
      <c r="AT339" s="266"/>
      <c r="AU339" s="267"/>
    </row>
    <row r="340" spans="1:47" ht="18" customHeight="1" x14ac:dyDescent="0.35">
      <c r="A340" s="274">
        <f>MATCH(B340,STUDIES!$A$3:$A$502,0)</f>
        <v>32</v>
      </c>
      <c r="B340" s="270" t="s">
        <v>361</v>
      </c>
      <c r="C340" s="459"/>
      <c r="D340" s="278" t="s">
        <v>148</v>
      </c>
      <c r="E340" s="256" t="s">
        <v>151</v>
      </c>
      <c r="F340" s="155" t="str">
        <f>_xlfn.XLOOKUP(B340,STUDIES!$A$3:$A$1063,STUDIES!$G$3:$G$1063,"Not Found!")</f>
        <v>A</v>
      </c>
      <c r="G340" s="257" t="s">
        <v>147</v>
      </c>
      <c r="H340" s="257">
        <v>12</v>
      </c>
      <c r="I340" s="257">
        <v>27</v>
      </c>
      <c r="J340" s="258"/>
      <c r="K340" s="259">
        <v>37.4</v>
      </c>
      <c r="L340" s="259"/>
      <c r="M340" s="259">
        <v>12.19</v>
      </c>
      <c r="N340" s="259"/>
      <c r="O340" s="259"/>
      <c r="P340" s="259"/>
      <c r="Q340" s="261" t="s">
        <v>92</v>
      </c>
      <c r="R340" s="264"/>
      <c r="S340" s="259"/>
      <c r="T340" s="259"/>
      <c r="U340" s="259"/>
      <c r="V340" s="259"/>
      <c r="W340" s="259"/>
      <c r="X340" s="264"/>
      <c r="Y340" s="259"/>
      <c r="Z340" s="259"/>
      <c r="AA340" s="259"/>
      <c r="AB340" s="259"/>
      <c r="AC340" s="259"/>
      <c r="AD340" s="264"/>
      <c r="AE340" s="259"/>
      <c r="AF340" s="259"/>
      <c r="AG340" s="259"/>
      <c r="AH340" s="259"/>
      <c r="AI340" s="259"/>
      <c r="AJ340" s="265">
        <v>-37.5</v>
      </c>
      <c r="AK340" s="266">
        <v>6.98</v>
      </c>
      <c r="AL340" s="266"/>
      <c r="AM340" s="266"/>
      <c r="AN340" s="266"/>
      <c r="AO340" s="267"/>
      <c r="AP340" s="266"/>
      <c r="AQ340" s="266"/>
      <c r="AR340" s="266"/>
      <c r="AS340" s="266"/>
      <c r="AT340" s="266"/>
      <c r="AU340" s="267"/>
    </row>
    <row r="341" spans="1:47" ht="18" customHeight="1" x14ac:dyDescent="0.35">
      <c r="A341" s="274">
        <f>MATCH(B341,STUDIES!$A$3:$A$502,0)</f>
        <v>32</v>
      </c>
      <c r="B341" s="270" t="s">
        <v>361</v>
      </c>
      <c r="C341" s="459"/>
      <c r="D341" s="278" t="s">
        <v>1101</v>
      </c>
      <c r="E341" s="256" t="s">
        <v>293</v>
      </c>
      <c r="F341" s="155" t="str">
        <f>_xlfn.XLOOKUP(B341,STUDIES!$A$3:$A$1063,STUDIES!$G$3:$G$1063,"Not Found!")</f>
        <v>A</v>
      </c>
      <c r="G341" s="257" t="s">
        <v>147</v>
      </c>
      <c r="H341" s="257">
        <v>12</v>
      </c>
      <c r="I341" s="257">
        <v>24</v>
      </c>
      <c r="J341" s="258"/>
      <c r="K341" s="259"/>
      <c r="L341" s="259"/>
      <c r="M341" s="259"/>
      <c r="N341" s="259"/>
      <c r="O341" s="259"/>
      <c r="P341" s="259"/>
      <c r="Q341" s="271" t="s">
        <v>90</v>
      </c>
      <c r="R341" s="264">
        <v>-1.6</v>
      </c>
      <c r="S341" s="259">
        <v>0.67</v>
      </c>
      <c r="T341" s="259"/>
      <c r="U341" s="259"/>
      <c r="V341" s="259"/>
      <c r="W341" s="259"/>
      <c r="X341" s="264"/>
      <c r="Y341" s="259"/>
      <c r="Z341" s="259"/>
      <c r="AA341" s="259"/>
      <c r="AB341" s="259"/>
      <c r="AC341" s="259"/>
      <c r="AD341" s="264"/>
      <c r="AE341" s="259"/>
      <c r="AF341" s="259"/>
      <c r="AG341" s="259"/>
      <c r="AH341" s="259"/>
      <c r="AI341" s="259"/>
      <c r="AJ341" s="265"/>
      <c r="AK341" s="266"/>
      <c r="AL341" s="266"/>
      <c r="AM341" s="266"/>
      <c r="AN341" s="266"/>
      <c r="AO341" s="267"/>
      <c r="AP341" s="266"/>
      <c r="AQ341" s="266"/>
      <c r="AR341" s="266"/>
      <c r="AS341" s="266"/>
      <c r="AT341" s="266"/>
      <c r="AU341" s="267"/>
    </row>
    <row r="342" spans="1:47" ht="18" customHeight="1" x14ac:dyDescent="0.35">
      <c r="A342" s="274">
        <f>MATCH(B342,STUDIES!$A$3:$A$502,0)</f>
        <v>32</v>
      </c>
      <c r="B342" s="270" t="s">
        <v>361</v>
      </c>
      <c r="C342" s="459"/>
      <c r="D342" s="278" t="s">
        <v>1101</v>
      </c>
      <c r="E342" s="256" t="s">
        <v>292</v>
      </c>
      <c r="F342" s="155" t="str">
        <f>_xlfn.XLOOKUP(B342,STUDIES!$A$3:$A$1063,STUDIES!$G$3:$G$1063,"Not Found!")</f>
        <v>A</v>
      </c>
      <c r="G342" s="257" t="s">
        <v>147</v>
      </c>
      <c r="H342" s="257">
        <v>12</v>
      </c>
      <c r="I342" s="257">
        <v>24</v>
      </c>
      <c r="J342" s="258"/>
      <c r="K342" s="259"/>
      <c r="L342" s="259"/>
      <c r="M342" s="259"/>
      <c r="N342" s="259"/>
      <c r="O342" s="259"/>
      <c r="P342" s="259"/>
      <c r="Q342" s="271" t="s">
        <v>90</v>
      </c>
      <c r="R342" s="264">
        <v>-1.4</v>
      </c>
      <c r="S342" s="259">
        <v>0.62</v>
      </c>
      <c r="T342" s="259"/>
      <c r="U342" s="259"/>
      <c r="V342" s="259"/>
      <c r="W342" s="259"/>
      <c r="X342" s="264"/>
      <c r="Y342" s="259"/>
      <c r="Z342" s="259"/>
      <c r="AA342" s="259"/>
      <c r="AB342" s="259"/>
      <c r="AC342" s="259"/>
      <c r="AD342" s="264"/>
      <c r="AE342" s="259"/>
      <c r="AF342" s="259"/>
      <c r="AG342" s="259"/>
      <c r="AH342" s="259"/>
      <c r="AI342" s="259"/>
      <c r="AJ342" s="265"/>
      <c r="AK342" s="266"/>
      <c r="AL342" s="266"/>
      <c r="AM342" s="266"/>
      <c r="AN342" s="266"/>
      <c r="AO342" s="267"/>
      <c r="AP342" s="266"/>
      <c r="AQ342" s="266"/>
      <c r="AR342" s="266"/>
      <c r="AS342" s="266"/>
      <c r="AT342" s="266"/>
      <c r="AU342" s="267"/>
    </row>
    <row r="343" spans="1:47" ht="18" customHeight="1" x14ac:dyDescent="0.35">
      <c r="A343" s="274">
        <f>MATCH(B343,STUDIES!$A$3:$A$502,0)</f>
        <v>32</v>
      </c>
      <c r="B343" s="270" t="s">
        <v>361</v>
      </c>
      <c r="C343" s="459"/>
      <c r="D343" s="278" t="s">
        <v>1101</v>
      </c>
      <c r="E343" s="256" t="s">
        <v>154</v>
      </c>
      <c r="F343" s="155" t="str">
        <f>_xlfn.XLOOKUP(B343,STUDIES!$A$3:$A$1063,STUDIES!$G$3:$G$1063,"Not Found!")</f>
        <v>A</v>
      </c>
      <c r="G343" s="257" t="s">
        <v>147</v>
      </c>
      <c r="H343" s="257">
        <v>12</v>
      </c>
      <c r="I343" s="257">
        <v>24</v>
      </c>
      <c r="J343" s="258"/>
      <c r="K343" s="259"/>
      <c r="L343" s="259"/>
      <c r="M343" s="259"/>
      <c r="N343" s="259"/>
      <c r="O343" s="259"/>
      <c r="P343" s="259"/>
      <c r="Q343" s="271" t="s">
        <v>90</v>
      </c>
      <c r="R343" s="264">
        <v>-1.7</v>
      </c>
      <c r="S343" s="259">
        <v>0.73</v>
      </c>
      <c r="T343" s="259"/>
      <c r="U343" s="259"/>
      <c r="V343" s="259"/>
      <c r="W343" s="259"/>
      <c r="X343" s="264"/>
      <c r="Y343" s="259"/>
      <c r="Z343" s="259"/>
      <c r="AA343" s="259"/>
      <c r="AB343" s="259"/>
      <c r="AC343" s="259"/>
      <c r="AD343" s="264"/>
      <c r="AE343" s="259"/>
      <c r="AF343" s="259"/>
      <c r="AG343" s="259"/>
      <c r="AH343" s="259"/>
      <c r="AI343" s="259"/>
      <c r="AJ343" s="265"/>
      <c r="AK343" s="266"/>
      <c r="AL343" s="266"/>
      <c r="AM343" s="266"/>
      <c r="AN343" s="266"/>
      <c r="AO343" s="267"/>
      <c r="AP343" s="266"/>
      <c r="AQ343" s="266"/>
      <c r="AR343" s="266"/>
      <c r="AS343" s="266"/>
      <c r="AT343" s="266"/>
      <c r="AU343" s="267"/>
    </row>
    <row r="344" spans="1:47" ht="18" customHeight="1" x14ac:dyDescent="0.35">
      <c r="A344" s="274">
        <f>MATCH(B344,STUDIES!$A$3:$A$502,0)</f>
        <v>32</v>
      </c>
      <c r="B344" s="270" t="s">
        <v>361</v>
      </c>
      <c r="C344" s="459"/>
      <c r="D344" s="278" t="s">
        <v>1101</v>
      </c>
      <c r="E344" s="256" t="s">
        <v>151</v>
      </c>
      <c r="F344" s="155" t="str">
        <f>_xlfn.XLOOKUP(B344,STUDIES!$A$3:$A$1063,STUDIES!$G$3:$G$1063,"Not Found!")</f>
        <v>A</v>
      </c>
      <c r="G344" s="257" t="s">
        <v>147</v>
      </c>
      <c r="H344" s="257">
        <v>12</v>
      </c>
      <c r="I344" s="257">
        <v>24</v>
      </c>
      <c r="J344" s="258"/>
      <c r="K344" s="259">
        <v>38</v>
      </c>
      <c r="L344" s="259"/>
      <c r="M344" s="259">
        <v>10.84</v>
      </c>
      <c r="N344" s="259"/>
      <c r="O344" s="259"/>
      <c r="P344" s="259"/>
      <c r="Q344" s="261" t="s">
        <v>92</v>
      </c>
      <c r="R344" s="264"/>
      <c r="S344" s="259"/>
      <c r="T344" s="259"/>
      <c r="U344" s="259"/>
      <c r="V344" s="259"/>
      <c r="W344" s="259"/>
      <c r="X344" s="264"/>
      <c r="Y344" s="259"/>
      <c r="Z344" s="259"/>
      <c r="AA344" s="259"/>
      <c r="AB344" s="259"/>
      <c r="AC344" s="259"/>
      <c r="AD344" s="264"/>
      <c r="AE344" s="259"/>
      <c r="AF344" s="259"/>
      <c r="AG344" s="259"/>
      <c r="AH344" s="259"/>
      <c r="AI344" s="259"/>
      <c r="AJ344" s="265">
        <v>-38.200000000000003</v>
      </c>
      <c r="AK344" s="266">
        <v>7.4</v>
      </c>
      <c r="AL344" s="266"/>
      <c r="AM344" s="266"/>
      <c r="AN344" s="266"/>
      <c r="AO344" s="267"/>
      <c r="AP344" s="266"/>
      <c r="AQ344" s="266"/>
      <c r="AR344" s="266"/>
      <c r="AS344" s="266"/>
      <c r="AT344" s="266"/>
      <c r="AU344" s="267"/>
    </row>
    <row r="345" spans="1:47" ht="18" customHeight="1" x14ac:dyDescent="0.35">
      <c r="A345" s="274">
        <f>MATCH(B345,STUDIES!$A$3:$A$502,0)</f>
        <v>32</v>
      </c>
      <c r="B345" s="272" t="s">
        <v>361</v>
      </c>
      <c r="D345" s="278" t="s">
        <v>1101</v>
      </c>
      <c r="E345" s="272" t="s">
        <v>1163</v>
      </c>
      <c r="F345" s="155" t="str">
        <f>_xlfn.XLOOKUP(B345,STUDIES!$A$3:$A$1063,STUDIES!$G$3:$G$1063,"Not Found!")</f>
        <v>A</v>
      </c>
      <c r="G345" s="273" t="s">
        <v>147</v>
      </c>
      <c r="H345" s="273">
        <v>12</v>
      </c>
      <c r="I345" s="273">
        <v>24</v>
      </c>
      <c r="J345" s="274">
        <v>0</v>
      </c>
      <c r="Q345" s="275"/>
      <c r="R345" s="276"/>
    </row>
    <row r="346" spans="1:47" ht="18" customHeight="1" x14ac:dyDescent="0.35">
      <c r="A346" s="274">
        <f>MATCH(B346,STUDIES!$A$3:$A$502,0)</f>
        <v>32</v>
      </c>
      <c r="B346" s="272" t="s">
        <v>361</v>
      </c>
      <c r="D346" s="281" t="s">
        <v>1101</v>
      </c>
      <c r="E346" s="272" t="s">
        <v>1167</v>
      </c>
      <c r="F346" s="155" t="str">
        <f>_xlfn.XLOOKUP(B346,STUDIES!$A$3:$A$1063,STUDIES!$G$3:$G$1063,"Not Found!")</f>
        <v>A</v>
      </c>
      <c r="G346" s="273" t="s">
        <v>147</v>
      </c>
      <c r="H346" s="273">
        <v>12</v>
      </c>
      <c r="I346" s="273">
        <v>24</v>
      </c>
      <c r="J346" s="274">
        <v>1</v>
      </c>
      <c r="Q346" s="275"/>
      <c r="R346" s="276"/>
    </row>
    <row r="347" spans="1:47" ht="18" customHeight="1" x14ac:dyDescent="0.35">
      <c r="A347" s="274">
        <f>MATCH(B347,STUDIES!$A$3:$A$502,0)</f>
        <v>32</v>
      </c>
      <c r="B347" s="270" t="s">
        <v>361</v>
      </c>
      <c r="C347" s="459"/>
      <c r="D347" s="278" t="s">
        <v>1103</v>
      </c>
      <c r="E347" s="256" t="s">
        <v>293</v>
      </c>
      <c r="F347" s="155" t="str">
        <f>_xlfn.XLOOKUP(B347,STUDIES!$A$3:$A$1063,STUDIES!$G$3:$G$1063,"Not Found!")</f>
        <v>A</v>
      </c>
      <c r="G347" s="257" t="s">
        <v>147</v>
      </c>
      <c r="H347" s="257">
        <v>12</v>
      </c>
      <c r="I347" s="257">
        <v>28</v>
      </c>
      <c r="J347" s="258"/>
      <c r="K347" s="259"/>
      <c r="L347" s="259"/>
      <c r="M347" s="259"/>
      <c r="N347" s="259"/>
      <c r="O347" s="259"/>
      <c r="P347" s="259"/>
      <c r="Q347" s="271" t="s">
        <v>90</v>
      </c>
      <c r="R347" s="264">
        <v>-2.4</v>
      </c>
      <c r="S347" s="259">
        <v>0.64</v>
      </c>
      <c r="T347" s="259"/>
      <c r="U347" s="259"/>
      <c r="V347" s="259"/>
      <c r="W347" s="259"/>
      <c r="X347" s="264"/>
      <c r="Y347" s="259"/>
      <c r="Z347" s="259"/>
      <c r="AA347" s="259"/>
      <c r="AB347" s="259"/>
      <c r="AC347" s="259"/>
      <c r="AD347" s="264"/>
      <c r="AE347" s="259"/>
      <c r="AF347" s="259"/>
      <c r="AG347" s="259"/>
      <c r="AH347" s="259"/>
      <c r="AI347" s="259"/>
      <c r="AJ347" s="265"/>
      <c r="AK347" s="266"/>
      <c r="AL347" s="266"/>
      <c r="AM347" s="266"/>
      <c r="AN347" s="266"/>
      <c r="AO347" s="267"/>
      <c r="AP347" s="266"/>
      <c r="AQ347" s="266"/>
      <c r="AR347" s="266"/>
      <c r="AS347" s="266"/>
      <c r="AT347" s="266"/>
      <c r="AU347" s="267"/>
    </row>
    <row r="348" spans="1:47" ht="18" customHeight="1" x14ac:dyDescent="0.35">
      <c r="A348" s="274">
        <f>MATCH(B348,STUDIES!$A$3:$A$502,0)</f>
        <v>32</v>
      </c>
      <c r="B348" s="270" t="s">
        <v>361</v>
      </c>
      <c r="C348" s="459"/>
      <c r="D348" s="278" t="s">
        <v>1103</v>
      </c>
      <c r="E348" s="256" t="s">
        <v>292</v>
      </c>
      <c r="F348" s="155" t="str">
        <f>_xlfn.XLOOKUP(B348,STUDIES!$A$3:$A$1063,STUDIES!$G$3:$G$1063,"Not Found!")</f>
        <v>A</v>
      </c>
      <c r="G348" s="257" t="s">
        <v>147</v>
      </c>
      <c r="H348" s="257">
        <v>12</v>
      </c>
      <c r="I348" s="257">
        <v>28</v>
      </c>
      <c r="J348" s="258"/>
      <c r="K348" s="259"/>
      <c r="L348" s="259"/>
      <c r="M348" s="259"/>
      <c r="N348" s="259"/>
      <c r="O348" s="259"/>
      <c r="P348" s="259"/>
      <c r="Q348" s="271" t="s">
        <v>90</v>
      </c>
      <c r="R348" s="264">
        <v>-2.8</v>
      </c>
      <c r="S348" s="259">
        <v>0.56999999999999995</v>
      </c>
      <c r="T348" s="259"/>
      <c r="U348" s="259"/>
      <c r="V348" s="259"/>
      <c r="W348" s="259"/>
      <c r="X348" s="264"/>
      <c r="Y348" s="259"/>
      <c r="Z348" s="259"/>
      <c r="AA348" s="259"/>
      <c r="AB348" s="259"/>
      <c r="AC348" s="259"/>
      <c r="AD348" s="264"/>
      <c r="AE348" s="259"/>
      <c r="AF348" s="259"/>
      <c r="AG348" s="259"/>
      <c r="AH348" s="259"/>
      <c r="AI348" s="259"/>
      <c r="AJ348" s="265"/>
      <c r="AK348" s="266"/>
      <c r="AL348" s="266"/>
      <c r="AM348" s="266"/>
      <c r="AN348" s="266"/>
      <c r="AO348" s="267"/>
      <c r="AP348" s="266"/>
      <c r="AQ348" s="266"/>
      <c r="AR348" s="266"/>
      <c r="AS348" s="266"/>
      <c r="AT348" s="266"/>
      <c r="AU348" s="267"/>
    </row>
    <row r="349" spans="1:47" ht="18" customHeight="1" x14ac:dyDescent="0.35">
      <c r="A349" s="274">
        <f>MATCH(B349,STUDIES!$A$3:$A$502,0)</f>
        <v>32</v>
      </c>
      <c r="B349" s="270" t="s">
        <v>361</v>
      </c>
      <c r="C349" s="459"/>
      <c r="D349" s="278" t="s">
        <v>1103</v>
      </c>
      <c r="E349" s="256" t="s">
        <v>154</v>
      </c>
      <c r="F349" s="155" t="str">
        <f>_xlfn.XLOOKUP(B349,STUDIES!$A$3:$A$1063,STUDIES!$G$3:$G$1063,"Not Found!")</f>
        <v>A</v>
      </c>
      <c r="G349" s="257" t="s">
        <v>147</v>
      </c>
      <c r="H349" s="257">
        <v>12</v>
      </c>
      <c r="I349" s="257">
        <v>28</v>
      </c>
      <c r="J349" s="258"/>
      <c r="K349" s="259"/>
      <c r="L349" s="259"/>
      <c r="M349" s="259"/>
      <c r="N349" s="259"/>
      <c r="O349" s="259"/>
      <c r="P349" s="259"/>
      <c r="Q349" s="271" t="s">
        <v>90</v>
      </c>
      <c r="R349" s="264">
        <v>-1.6</v>
      </c>
      <c r="S349" s="259">
        <v>0.68</v>
      </c>
      <c r="T349" s="259"/>
      <c r="U349" s="259"/>
      <c r="V349" s="259"/>
      <c r="W349" s="259"/>
      <c r="X349" s="264"/>
      <c r="Y349" s="259"/>
      <c r="Z349" s="259"/>
      <c r="AA349" s="259"/>
      <c r="AB349" s="259"/>
      <c r="AC349" s="259"/>
      <c r="AD349" s="264"/>
      <c r="AE349" s="259"/>
      <c r="AF349" s="259"/>
      <c r="AG349" s="259"/>
      <c r="AH349" s="259"/>
      <c r="AI349" s="259"/>
      <c r="AJ349" s="265"/>
      <c r="AK349" s="266"/>
      <c r="AL349" s="266"/>
      <c r="AM349" s="266"/>
      <c r="AN349" s="266"/>
      <c r="AO349" s="267"/>
      <c r="AP349" s="266"/>
      <c r="AQ349" s="266"/>
      <c r="AR349" s="266"/>
      <c r="AS349" s="266"/>
      <c r="AT349" s="266"/>
      <c r="AU349" s="267"/>
    </row>
    <row r="350" spans="1:47" ht="18" customHeight="1" x14ac:dyDescent="0.35">
      <c r="A350" s="274">
        <f>MATCH(B350,STUDIES!$A$3:$A$502,0)</f>
        <v>32</v>
      </c>
      <c r="B350" s="270" t="s">
        <v>361</v>
      </c>
      <c r="C350" s="459"/>
      <c r="D350" s="278" t="s">
        <v>1103</v>
      </c>
      <c r="E350" s="256" t="s">
        <v>151</v>
      </c>
      <c r="F350" s="155" t="str">
        <f>_xlfn.XLOOKUP(B350,STUDIES!$A$3:$A$1063,STUDIES!$G$3:$G$1063,"Not Found!")</f>
        <v>A</v>
      </c>
      <c r="G350" s="257" t="s">
        <v>147</v>
      </c>
      <c r="H350" s="257">
        <v>12</v>
      </c>
      <c r="I350" s="257">
        <v>28</v>
      </c>
      <c r="J350" s="258"/>
      <c r="K350" s="259">
        <v>36.5</v>
      </c>
      <c r="L350" s="259"/>
      <c r="M350" s="259">
        <v>12.6</v>
      </c>
      <c r="N350" s="259"/>
      <c r="O350" s="259"/>
      <c r="P350" s="259"/>
      <c r="Q350" s="261" t="s">
        <v>92</v>
      </c>
      <c r="R350" s="264"/>
      <c r="S350" s="259"/>
      <c r="T350" s="259"/>
      <c r="U350" s="259"/>
      <c r="V350" s="259"/>
      <c r="W350" s="259"/>
      <c r="X350" s="264"/>
      <c r="Y350" s="259"/>
      <c r="Z350" s="259"/>
      <c r="AA350" s="259"/>
      <c r="AB350" s="259"/>
      <c r="AC350" s="259"/>
      <c r="AD350" s="264"/>
      <c r="AE350" s="259"/>
      <c r="AF350" s="259"/>
      <c r="AG350" s="259"/>
      <c r="AH350" s="259"/>
      <c r="AI350" s="259"/>
      <c r="AJ350" s="265">
        <v>-39.799999999999997</v>
      </c>
      <c r="AK350" s="266">
        <v>6.86</v>
      </c>
      <c r="AL350" s="266"/>
      <c r="AM350" s="266"/>
      <c r="AN350" s="266"/>
      <c r="AO350" s="267"/>
      <c r="AP350" s="266"/>
      <c r="AQ350" s="266"/>
      <c r="AR350" s="266"/>
      <c r="AS350" s="266"/>
      <c r="AT350" s="266"/>
      <c r="AU350" s="267"/>
    </row>
    <row r="351" spans="1:47" ht="18" customHeight="1" x14ac:dyDescent="0.35">
      <c r="A351" s="274">
        <f>MATCH(B351,STUDIES!$A$3:$A$502,0)</f>
        <v>32</v>
      </c>
      <c r="B351" s="272" t="s">
        <v>361</v>
      </c>
      <c r="D351" s="278" t="s">
        <v>1103</v>
      </c>
      <c r="E351" s="272" t="s">
        <v>1163</v>
      </c>
      <c r="F351" s="155" t="str">
        <f>_xlfn.XLOOKUP(B351,STUDIES!$A$3:$A$1063,STUDIES!$G$3:$G$1063,"Not Found!")</f>
        <v>A</v>
      </c>
      <c r="G351" s="273" t="s">
        <v>147</v>
      </c>
      <c r="H351" s="273">
        <v>12</v>
      </c>
      <c r="I351" s="273">
        <v>28</v>
      </c>
      <c r="J351" s="274">
        <v>0</v>
      </c>
      <c r="Q351" s="275"/>
      <c r="R351" s="276"/>
    </row>
    <row r="352" spans="1:47" ht="18" customHeight="1" x14ac:dyDescent="0.35">
      <c r="A352" s="274">
        <f>MATCH(B352,STUDIES!$A$3:$A$502,0)</f>
        <v>32</v>
      </c>
      <c r="B352" s="272" t="s">
        <v>361</v>
      </c>
      <c r="D352" s="281" t="s">
        <v>1103</v>
      </c>
      <c r="E352" s="272" t="s">
        <v>1167</v>
      </c>
      <c r="F352" s="155" t="str">
        <f>_xlfn.XLOOKUP(B352,STUDIES!$A$3:$A$1063,STUDIES!$G$3:$G$1063,"Not Found!")</f>
        <v>A</v>
      </c>
      <c r="G352" s="273" t="s">
        <v>147</v>
      </c>
      <c r="H352" s="273">
        <v>12</v>
      </c>
      <c r="I352" s="273">
        <v>28</v>
      </c>
      <c r="J352" s="274">
        <v>0</v>
      </c>
      <c r="Q352" s="275"/>
      <c r="R352" s="276"/>
    </row>
    <row r="353" spans="1:47" ht="18" customHeight="1" x14ac:dyDescent="0.35">
      <c r="A353" s="274">
        <f>MATCH(B353,STUDIES!$A$3:$A$502,0)</f>
        <v>32</v>
      </c>
      <c r="B353" s="272" t="s">
        <v>361</v>
      </c>
      <c r="D353" s="281" t="s">
        <v>148</v>
      </c>
      <c r="E353" s="272" t="s">
        <v>1163</v>
      </c>
      <c r="F353" s="155" t="str">
        <f>_xlfn.XLOOKUP(B353,STUDIES!$A$3:$A$1063,STUDIES!$G$3:$G$1063,"Not Found!")</f>
        <v>A</v>
      </c>
      <c r="G353" s="273" t="s">
        <v>147</v>
      </c>
      <c r="H353" s="273">
        <v>12</v>
      </c>
      <c r="I353" s="273">
        <v>27</v>
      </c>
      <c r="J353" s="274">
        <v>0</v>
      </c>
      <c r="Q353" s="275"/>
      <c r="R353" s="276"/>
    </row>
    <row r="354" spans="1:47" ht="18" customHeight="1" x14ac:dyDescent="0.35">
      <c r="A354" s="274">
        <f>MATCH(B354,STUDIES!$A$3:$A$502,0)</f>
        <v>32</v>
      </c>
      <c r="B354" s="272" t="s">
        <v>361</v>
      </c>
      <c r="D354" s="281" t="s">
        <v>148</v>
      </c>
      <c r="E354" s="272" t="s">
        <v>1167</v>
      </c>
      <c r="F354" s="155" t="str">
        <f>_xlfn.XLOOKUP(B354,STUDIES!$A$3:$A$1063,STUDIES!$G$3:$G$1063,"Not Found!")</f>
        <v>A</v>
      </c>
      <c r="G354" s="273" t="s">
        <v>147</v>
      </c>
      <c r="H354" s="273">
        <v>12</v>
      </c>
      <c r="I354" s="273">
        <v>27</v>
      </c>
      <c r="J354" s="274">
        <v>0</v>
      </c>
      <c r="Q354" s="275"/>
      <c r="R354" s="276"/>
    </row>
    <row r="355" spans="1:47" ht="18" customHeight="1" x14ac:dyDescent="0.35">
      <c r="A355" s="274">
        <f>MATCH(B355,STUDIES!$A$3:$A$502,0)</f>
        <v>33</v>
      </c>
      <c r="B355" s="256" t="s">
        <v>315</v>
      </c>
      <c r="C355" s="458"/>
      <c r="D355" s="269" t="s">
        <v>1039</v>
      </c>
      <c r="E355" s="256" t="s">
        <v>151</v>
      </c>
      <c r="F355" s="155" t="str">
        <f>_xlfn.XLOOKUP(B355,STUDIES!$A$3:$A$1063,STUDIES!$G$3:$G$1063,"Not Found!")</f>
        <v>A</v>
      </c>
      <c r="G355" s="299" t="s">
        <v>147</v>
      </c>
      <c r="H355" s="299">
        <v>12</v>
      </c>
      <c r="I355" s="257">
        <v>22</v>
      </c>
      <c r="J355" s="258"/>
      <c r="K355" s="259"/>
      <c r="L355" s="259"/>
      <c r="M355" s="259"/>
      <c r="N355" s="259"/>
      <c r="O355" s="259"/>
      <c r="P355" s="259"/>
      <c r="Q355" s="261" t="s">
        <v>90</v>
      </c>
      <c r="R355" s="262">
        <v>-17.2</v>
      </c>
      <c r="S355" s="259"/>
      <c r="T355" s="263">
        <v>14.1</v>
      </c>
      <c r="U355" s="263"/>
      <c r="V355" s="263"/>
      <c r="W355" s="263"/>
      <c r="X355" s="262"/>
      <c r="Y355" s="259"/>
      <c r="Z355" s="263"/>
      <c r="AA355" s="263"/>
      <c r="AB355" s="263"/>
      <c r="AC355" s="263"/>
      <c r="AD355" s="264"/>
      <c r="AE355" s="259"/>
      <c r="AF355" s="259"/>
      <c r="AG355" s="259"/>
      <c r="AH355" s="259"/>
      <c r="AI355" s="259"/>
      <c r="AJ355" s="265"/>
      <c r="AK355" s="266"/>
      <c r="AL355" s="266"/>
      <c r="AM355" s="266"/>
      <c r="AN355" s="266"/>
      <c r="AO355" s="267"/>
      <c r="AP355" s="266"/>
      <c r="AQ355" s="266"/>
      <c r="AR355" s="266"/>
      <c r="AS355" s="266"/>
      <c r="AT355" s="266"/>
      <c r="AU355" s="267"/>
    </row>
    <row r="356" spans="1:47" ht="18" customHeight="1" x14ac:dyDescent="0.35">
      <c r="A356" s="274">
        <f>MATCH(B356,STUDIES!$A$3:$A$502,0)</f>
        <v>33</v>
      </c>
      <c r="B356" s="256" t="s">
        <v>315</v>
      </c>
      <c r="C356" s="458"/>
      <c r="D356" s="269" t="s">
        <v>1039</v>
      </c>
      <c r="E356" s="256" t="s">
        <v>153</v>
      </c>
      <c r="F356" s="155" t="str">
        <f>_xlfn.XLOOKUP(B356,STUDIES!$A$3:$A$1063,STUDIES!$G$3:$G$1063,"Not Found!")</f>
        <v>A</v>
      </c>
      <c r="G356" s="299" t="s">
        <v>147</v>
      </c>
      <c r="H356" s="299">
        <v>12</v>
      </c>
      <c r="I356" s="257">
        <v>22</v>
      </c>
      <c r="J356" s="258"/>
      <c r="K356" s="259"/>
      <c r="L356" s="259"/>
      <c r="M356" s="259"/>
      <c r="N356" s="259"/>
      <c r="O356" s="259"/>
      <c r="P356" s="259"/>
      <c r="Q356" s="261" t="s">
        <v>90</v>
      </c>
      <c r="R356" s="262">
        <v>-7.9</v>
      </c>
      <c r="S356" s="259"/>
      <c r="T356" s="263">
        <v>7.7</v>
      </c>
      <c r="U356" s="263"/>
      <c r="V356" s="263"/>
      <c r="W356" s="263"/>
      <c r="X356" s="262"/>
      <c r="Y356" s="259"/>
      <c r="Z356" s="263"/>
      <c r="AA356" s="263"/>
      <c r="AB356" s="263"/>
      <c r="AC356" s="263"/>
      <c r="AD356" s="264"/>
      <c r="AE356" s="259"/>
      <c r="AF356" s="260"/>
      <c r="AG356" s="260"/>
      <c r="AH356" s="260"/>
      <c r="AI356" s="260"/>
      <c r="AJ356" s="265"/>
      <c r="AK356" s="266"/>
      <c r="AL356" s="266"/>
      <c r="AM356" s="266"/>
      <c r="AN356" s="266"/>
      <c r="AO356" s="267"/>
      <c r="AP356" s="266"/>
      <c r="AQ356" s="266"/>
      <c r="AR356" s="266"/>
      <c r="AS356" s="266"/>
      <c r="AT356" s="266"/>
      <c r="AU356" s="267"/>
    </row>
    <row r="357" spans="1:47" ht="18" customHeight="1" x14ac:dyDescent="0.35">
      <c r="A357" s="274">
        <f>MATCH(B357,STUDIES!$A$3:$A$502,0)</f>
        <v>33</v>
      </c>
      <c r="B357" s="272" t="s">
        <v>315</v>
      </c>
      <c r="D357" s="278" t="s">
        <v>1039</v>
      </c>
      <c r="E357" s="272" t="s">
        <v>1163</v>
      </c>
      <c r="F357" s="155" t="str">
        <f>_xlfn.XLOOKUP(B357,STUDIES!$A$3:$A$1063,STUDIES!$G$3:$G$1063,"Not Found!")</f>
        <v>A</v>
      </c>
      <c r="G357" s="273" t="s">
        <v>147</v>
      </c>
      <c r="H357" s="273">
        <v>12</v>
      </c>
      <c r="I357" s="273">
        <v>22</v>
      </c>
      <c r="J357" s="274">
        <v>0</v>
      </c>
      <c r="Q357" s="275"/>
      <c r="R357" s="276"/>
    </row>
    <row r="358" spans="1:47" ht="18" customHeight="1" x14ac:dyDescent="0.35">
      <c r="A358" s="274">
        <f>MATCH(B358,STUDIES!$A$3:$A$502,0)</f>
        <v>33</v>
      </c>
      <c r="B358" s="256" t="s">
        <v>315</v>
      </c>
      <c r="C358" s="458"/>
      <c r="D358" s="269" t="s">
        <v>1039</v>
      </c>
      <c r="E358" s="256" t="s">
        <v>155</v>
      </c>
      <c r="F358" s="155" t="str">
        <f>_xlfn.XLOOKUP(B358,STUDIES!$A$3:$A$1063,STUDIES!$G$3:$G$1063,"Not Found!")</f>
        <v>A</v>
      </c>
      <c r="G358" s="257" t="s">
        <v>147</v>
      </c>
      <c r="H358" s="257">
        <v>12</v>
      </c>
      <c r="I358" s="257">
        <v>22</v>
      </c>
      <c r="J358" s="258"/>
      <c r="K358" s="259"/>
      <c r="L358" s="259"/>
      <c r="M358" s="259"/>
      <c r="N358" s="259"/>
      <c r="O358" s="259"/>
      <c r="P358" s="259"/>
      <c r="Q358" s="271" t="s">
        <v>90</v>
      </c>
      <c r="R358" s="264">
        <v>-10.3</v>
      </c>
      <c r="S358" s="259"/>
      <c r="T358" s="259">
        <v>12.9</v>
      </c>
      <c r="U358" s="259"/>
      <c r="V358" s="259"/>
      <c r="W358" s="259"/>
      <c r="X358" s="264"/>
      <c r="Y358" s="259"/>
      <c r="Z358" s="259"/>
      <c r="AA358" s="259"/>
      <c r="AB358" s="259"/>
      <c r="AC358" s="259"/>
      <c r="AD358" s="264"/>
      <c r="AE358" s="259"/>
      <c r="AF358" s="259"/>
      <c r="AG358" s="259"/>
      <c r="AH358" s="259"/>
      <c r="AI358" s="259"/>
      <c r="AJ358" s="265"/>
      <c r="AK358" s="266"/>
      <c r="AL358" s="266"/>
      <c r="AM358" s="266"/>
      <c r="AN358" s="266"/>
      <c r="AO358" s="267"/>
      <c r="AP358" s="266"/>
      <c r="AQ358" s="266"/>
      <c r="AR358" s="266"/>
      <c r="AS358" s="266"/>
      <c r="AT358" s="266"/>
      <c r="AU358" s="267"/>
    </row>
    <row r="359" spans="1:47" ht="18" customHeight="1" x14ac:dyDescent="0.35">
      <c r="A359" s="274">
        <f>MATCH(B359,STUDIES!$A$3:$A$502,0)</f>
        <v>33</v>
      </c>
      <c r="B359" s="270" t="s">
        <v>315</v>
      </c>
      <c r="C359" s="459"/>
      <c r="D359" s="278" t="s">
        <v>1039</v>
      </c>
      <c r="E359" s="256" t="s">
        <v>156</v>
      </c>
      <c r="F359" s="155" t="str">
        <f>_xlfn.XLOOKUP(B359,STUDIES!$A$3:$A$1063,STUDIES!$G$3:$G$1063,"Not Found!")</f>
        <v>A</v>
      </c>
      <c r="G359" s="299" t="s">
        <v>147</v>
      </c>
      <c r="H359" s="299">
        <v>12</v>
      </c>
      <c r="I359" s="257">
        <v>22</v>
      </c>
      <c r="J359" s="258"/>
      <c r="K359" s="259"/>
      <c r="L359" s="259"/>
      <c r="M359" s="259"/>
      <c r="N359" s="259"/>
      <c r="O359" s="259"/>
      <c r="P359" s="259"/>
      <c r="Q359" s="261" t="s">
        <v>90</v>
      </c>
      <c r="R359" s="262">
        <v>-2.6</v>
      </c>
      <c r="S359" s="259"/>
      <c r="T359" s="263">
        <v>2.2000000000000002</v>
      </c>
      <c r="U359" s="263"/>
      <c r="V359" s="263"/>
      <c r="W359" s="263"/>
      <c r="X359" s="262"/>
      <c r="Y359" s="259"/>
      <c r="Z359" s="263"/>
      <c r="AA359" s="263"/>
      <c r="AB359" s="263"/>
      <c r="AC359" s="263"/>
      <c r="AD359" s="264"/>
      <c r="AE359" s="259"/>
      <c r="AF359" s="259"/>
      <c r="AG359" s="259"/>
      <c r="AH359" s="259"/>
      <c r="AI359" s="259"/>
      <c r="AJ359" s="265"/>
      <c r="AK359" s="266"/>
      <c r="AL359" s="266"/>
      <c r="AM359" s="266"/>
      <c r="AN359" s="266"/>
      <c r="AO359" s="267"/>
      <c r="AP359" s="266"/>
      <c r="AQ359" s="266"/>
      <c r="AR359" s="266"/>
      <c r="AS359" s="266"/>
      <c r="AT359" s="266"/>
      <c r="AU359" s="267"/>
    </row>
    <row r="360" spans="1:47" ht="18" customHeight="1" x14ac:dyDescent="0.35">
      <c r="A360" s="274">
        <f>MATCH(B360,STUDIES!$A$3:$A$502,0)</f>
        <v>33</v>
      </c>
      <c r="B360" s="272" t="s">
        <v>315</v>
      </c>
      <c r="D360" s="281" t="s">
        <v>1039</v>
      </c>
      <c r="E360" s="272" t="s">
        <v>1167</v>
      </c>
      <c r="F360" s="155" t="str">
        <f>_xlfn.XLOOKUP(B360,STUDIES!$A$3:$A$1063,STUDIES!$G$3:$G$1063,"Not Found!")</f>
        <v>A</v>
      </c>
      <c r="G360" s="273" t="s">
        <v>147</v>
      </c>
      <c r="H360" s="273">
        <v>12</v>
      </c>
      <c r="I360" s="273">
        <v>22</v>
      </c>
      <c r="J360" s="274">
        <v>2</v>
      </c>
      <c r="Q360" s="275"/>
      <c r="R360" s="276"/>
    </row>
    <row r="361" spans="1:47" ht="18" customHeight="1" x14ac:dyDescent="0.35">
      <c r="A361" s="274">
        <f>MATCH(B361,STUDIES!$A$3:$A$502,0)</f>
        <v>33</v>
      </c>
      <c r="B361" s="256" t="s">
        <v>315</v>
      </c>
      <c r="C361" s="458"/>
      <c r="D361" s="269" t="s">
        <v>1074</v>
      </c>
      <c r="E361" s="256" t="s">
        <v>151</v>
      </c>
      <c r="F361" s="155" t="str">
        <f>_xlfn.XLOOKUP(B361,STUDIES!$A$3:$A$1063,STUDIES!$G$3:$G$1063,"Not Found!")</f>
        <v>A</v>
      </c>
      <c r="G361" s="299" t="s">
        <v>147</v>
      </c>
      <c r="H361" s="299">
        <v>12</v>
      </c>
      <c r="I361" s="257">
        <v>20</v>
      </c>
      <c r="J361" s="258"/>
      <c r="K361" s="259"/>
      <c r="L361" s="259"/>
      <c r="M361" s="259"/>
      <c r="N361" s="259"/>
      <c r="O361" s="259"/>
      <c r="P361" s="259"/>
      <c r="Q361" s="261" t="s">
        <v>90</v>
      </c>
      <c r="R361" s="262">
        <v>-17.399999999999999</v>
      </c>
      <c r="S361" s="259"/>
      <c r="T361" s="263">
        <v>6.6</v>
      </c>
      <c r="U361" s="263"/>
      <c r="V361" s="263"/>
      <c r="W361" s="263"/>
      <c r="X361" s="262"/>
      <c r="Y361" s="259"/>
      <c r="Z361" s="263"/>
      <c r="AA361" s="263"/>
      <c r="AB361" s="263"/>
      <c r="AC361" s="263"/>
      <c r="AD361" s="264"/>
      <c r="AE361" s="259"/>
      <c r="AF361" s="259"/>
      <c r="AG361" s="259"/>
      <c r="AH361" s="259"/>
      <c r="AI361" s="259"/>
      <c r="AJ361" s="265"/>
      <c r="AK361" s="266"/>
      <c r="AL361" s="266"/>
      <c r="AM361" s="266"/>
      <c r="AN361" s="266"/>
      <c r="AO361" s="267"/>
      <c r="AP361" s="266"/>
      <c r="AQ361" s="266"/>
      <c r="AR361" s="266"/>
      <c r="AS361" s="266"/>
      <c r="AT361" s="266"/>
      <c r="AU361" s="267"/>
    </row>
    <row r="362" spans="1:47" ht="18" customHeight="1" x14ac:dyDescent="0.35">
      <c r="A362" s="274">
        <f>MATCH(B362,STUDIES!$A$3:$A$502,0)</f>
        <v>33</v>
      </c>
      <c r="B362" s="256" t="s">
        <v>315</v>
      </c>
      <c r="C362" s="458"/>
      <c r="D362" s="269" t="s">
        <v>1074</v>
      </c>
      <c r="E362" s="256" t="s">
        <v>153</v>
      </c>
      <c r="F362" s="155" t="str">
        <f>_xlfn.XLOOKUP(B362,STUDIES!$A$3:$A$1063,STUDIES!$G$3:$G$1063,"Not Found!")</f>
        <v>A</v>
      </c>
      <c r="G362" s="299" t="s">
        <v>147</v>
      </c>
      <c r="H362" s="299">
        <v>12</v>
      </c>
      <c r="I362" s="257">
        <v>20</v>
      </c>
      <c r="J362" s="258"/>
      <c r="K362" s="259"/>
      <c r="L362" s="259"/>
      <c r="M362" s="259"/>
      <c r="N362" s="259"/>
      <c r="O362" s="259"/>
      <c r="P362" s="259"/>
      <c r="Q362" s="261" t="s">
        <v>90</v>
      </c>
      <c r="R362" s="262">
        <v>-6.9</v>
      </c>
      <c r="S362" s="259"/>
      <c r="T362" s="263">
        <v>5.7</v>
      </c>
      <c r="U362" s="263"/>
      <c r="V362" s="263"/>
      <c r="W362" s="263"/>
      <c r="X362" s="262"/>
      <c r="Y362" s="259"/>
      <c r="Z362" s="263"/>
      <c r="AA362" s="263"/>
      <c r="AB362" s="263"/>
      <c r="AC362" s="263"/>
      <c r="AD362" s="264"/>
      <c r="AE362" s="259"/>
      <c r="AF362" s="259"/>
      <c r="AG362" s="259"/>
      <c r="AH362" s="259"/>
      <c r="AI362" s="259"/>
      <c r="AJ362" s="265"/>
      <c r="AK362" s="266"/>
      <c r="AL362" s="266"/>
      <c r="AM362" s="266"/>
      <c r="AN362" s="266"/>
      <c r="AO362" s="267"/>
      <c r="AP362" s="266"/>
      <c r="AQ362" s="266"/>
      <c r="AR362" s="266"/>
      <c r="AS362" s="266"/>
      <c r="AT362" s="266"/>
      <c r="AU362" s="267"/>
    </row>
    <row r="363" spans="1:47" ht="18" customHeight="1" x14ac:dyDescent="0.35">
      <c r="A363" s="274">
        <f>MATCH(B363,STUDIES!$A$3:$A$502,0)</f>
        <v>33</v>
      </c>
      <c r="B363" s="272" t="s">
        <v>315</v>
      </c>
      <c r="D363" s="269" t="s">
        <v>1074</v>
      </c>
      <c r="E363" s="272" t="s">
        <v>1163</v>
      </c>
      <c r="F363" s="155" t="str">
        <f>_xlfn.XLOOKUP(B363,STUDIES!$A$3:$A$1063,STUDIES!$G$3:$G$1063,"Not Found!")</f>
        <v>A</v>
      </c>
      <c r="G363" s="273" t="s">
        <v>147</v>
      </c>
      <c r="H363" s="273">
        <v>12</v>
      </c>
      <c r="I363" s="273">
        <v>20</v>
      </c>
      <c r="J363" s="274">
        <v>0</v>
      </c>
      <c r="Q363" s="275"/>
      <c r="R363" s="276"/>
    </row>
    <row r="364" spans="1:47" ht="18" customHeight="1" x14ac:dyDescent="0.35">
      <c r="A364" s="274">
        <f>MATCH(B364,STUDIES!$A$3:$A$502,0)</f>
        <v>33</v>
      </c>
      <c r="B364" s="256" t="s">
        <v>315</v>
      </c>
      <c r="C364" s="458"/>
      <c r="D364" s="278" t="s">
        <v>1074</v>
      </c>
      <c r="E364" s="256" t="s">
        <v>155</v>
      </c>
      <c r="F364" s="155" t="str">
        <f>_xlfn.XLOOKUP(B364,STUDIES!$A$3:$A$1063,STUDIES!$G$3:$G$1063,"Not Found!")</f>
        <v>A</v>
      </c>
      <c r="G364" s="257" t="s">
        <v>147</v>
      </c>
      <c r="H364" s="257">
        <v>12</v>
      </c>
      <c r="I364" s="257">
        <v>20</v>
      </c>
      <c r="J364" s="258"/>
      <c r="K364" s="259"/>
      <c r="L364" s="259"/>
      <c r="M364" s="259"/>
      <c r="N364" s="259"/>
      <c r="O364" s="259"/>
      <c r="P364" s="259"/>
      <c r="Q364" s="279" t="s">
        <v>90</v>
      </c>
      <c r="R364" s="289">
        <v>-12.9</v>
      </c>
      <c r="S364" s="259"/>
      <c r="T364" s="259">
        <v>8.8000000000000007</v>
      </c>
      <c r="U364" s="259"/>
      <c r="V364" s="259"/>
      <c r="W364" s="259"/>
      <c r="X364" s="264"/>
      <c r="Y364" s="259"/>
      <c r="Z364" s="259"/>
      <c r="AA364" s="259"/>
      <c r="AB364" s="259"/>
      <c r="AC364" s="259"/>
      <c r="AD364" s="264"/>
      <c r="AE364" s="259"/>
      <c r="AF364" s="259"/>
      <c r="AG364" s="259"/>
      <c r="AH364" s="259"/>
      <c r="AI364" s="259"/>
      <c r="AJ364" s="265"/>
      <c r="AK364" s="266"/>
      <c r="AL364" s="266"/>
      <c r="AM364" s="266"/>
      <c r="AN364" s="266"/>
      <c r="AO364" s="267"/>
      <c r="AP364" s="266"/>
      <c r="AQ364" s="266"/>
      <c r="AR364" s="266"/>
      <c r="AS364" s="266"/>
      <c r="AT364" s="266"/>
      <c r="AU364" s="267"/>
    </row>
    <row r="365" spans="1:47" ht="18" customHeight="1" x14ac:dyDescent="0.35">
      <c r="A365" s="274">
        <f>MATCH(B365,STUDIES!$A$3:$A$502,0)</f>
        <v>33</v>
      </c>
      <c r="B365" s="270" t="s">
        <v>315</v>
      </c>
      <c r="C365" s="459"/>
      <c r="D365" s="278" t="s">
        <v>1074</v>
      </c>
      <c r="E365" s="256" t="s">
        <v>156</v>
      </c>
      <c r="F365" s="155" t="str">
        <f>_xlfn.XLOOKUP(B365,STUDIES!$A$3:$A$1063,STUDIES!$G$3:$G$1063,"Not Found!")</f>
        <v>A</v>
      </c>
      <c r="G365" s="299" t="s">
        <v>147</v>
      </c>
      <c r="H365" s="299">
        <v>12</v>
      </c>
      <c r="I365" s="257">
        <v>20</v>
      </c>
      <c r="J365" s="258"/>
      <c r="K365" s="259"/>
      <c r="L365" s="259"/>
      <c r="M365" s="259"/>
      <c r="N365" s="259"/>
      <c r="O365" s="259"/>
      <c r="P365" s="259"/>
      <c r="Q365" s="290" t="s">
        <v>90</v>
      </c>
      <c r="R365" s="280">
        <v>-2.5</v>
      </c>
      <c r="S365" s="259"/>
      <c r="T365" s="263">
        <v>2.2000000000000002</v>
      </c>
      <c r="U365" s="263"/>
      <c r="V365" s="263"/>
      <c r="W365" s="263"/>
      <c r="X365" s="262"/>
      <c r="Y365" s="259"/>
      <c r="Z365" s="263"/>
      <c r="AA365" s="263"/>
      <c r="AB365" s="263"/>
      <c r="AC365" s="263"/>
      <c r="AD365" s="264"/>
      <c r="AE365" s="259"/>
      <c r="AF365" s="259"/>
      <c r="AG365" s="259"/>
      <c r="AH365" s="259"/>
      <c r="AI365" s="259"/>
      <c r="AJ365" s="265"/>
      <c r="AK365" s="266"/>
      <c r="AL365" s="266"/>
      <c r="AM365" s="266"/>
      <c r="AN365" s="266"/>
      <c r="AO365" s="267"/>
      <c r="AP365" s="266"/>
      <c r="AQ365" s="266"/>
      <c r="AR365" s="266"/>
      <c r="AS365" s="266"/>
      <c r="AT365" s="266"/>
      <c r="AU365" s="267"/>
    </row>
    <row r="366" spans="1:47" ht="18" customHeight="1" x14ac:dyDescent="0.35">
      <c r="A366" s="274">
        <f>MATCH(B366,STUDIES!$A$3:$A$502,0)</f>
        <v>33</v>
      </c>
      <c r="B366" s="272" t="s">
        <v>315</v>
      </c>
      <c r="D366" s="281" t="s">
        <v>1074</v>
      </c>
      <c r="E366" s="272" t="s">
        <v>1167</v>
      </c>
      <c r="F366" s="155" t="str">
        <f>_xlfn.XLOOKUP(B366,STUDIES!$A$3:$A$1063,STUDIES!$G$3:$G$1063,"Not Found!")</f>
        <v>A</v>
      </c>
      <c r="G366" s="273" t="s">
        <v>147</v>
      </c>
      <c r="H366" s="273">
        <v>12</v>
      </c>
      <c r="I366" s="273">
        <v>20</v>
      </c>
      <c r="J366" s="274">
        <v>1</v>
      </c>
    </row>
    <row r="367" spans="1:47" ht="18" customHeight="1" x14ac:dyDescent="0.35">
      <c r="A367" s="274">
        <f>MATCH(B367,STUDIES!$A$3:$A$502,0)</f>
        <v>34</v>
      </c>
      <c r="B367" s="270" t="s">
        <v>709</v>
      </c>
      <c r="C367" s="459"/>
      <c r="D367" s="269" t="s">
        <v>1081</v>
      </c>
      <c r="E367" s="256" t="s">
        <v>151</v>
      </c>
      <c r="F367" s="155" t="str">
        <f>_xlfn.XLOOKUP(B367,STUDIES!$A$3:$A$1063,STUDIES!$G$3:$G$1063,"Not Found!")</f>
        <v>A</v>
      </c>
      <c r="G367" s="257" t="s">
        <v>152</v>
      </c>
      <c r="H367" s="257">
        <v>24</v>
      </c>
      <c r="I367" s="257">
        <v>40</v>
      </c>
      <c r="J367" s="258"/>
      <c r="K367" s="259">
        <v>24.8</v>
      </c>
      <c r="L367" s="259"/>
      <c r="M367" s="259">
        <v>10.199999999999999</v>
      </c>
      <c r="N367" s="259"/>
      <c r="O367" s="259"/>
      <c r="P367" s="259"/>
      <c r="Q367" s="279" t="s">
        <v>92</v>
      </c>
      <c r="R367" s="289"/>
      <c r="S367" s="259"/>
      <c r="T367" s="259"/>
      <c r="U367" s="259"/>
      <c r="V367" s="259"/>
      <c r="W367" s="259"/>
      <c r="X367" s="264"/>
      <c r="Y367" s="259"/>
      <c r="Z367" s="259"/>
      <c r="AA367" s="259"/>
      <c r="AB367" s="259"/>
      <c r="AC367" s="259"/>
      <c r="AD367" s="264"/>
      <c r="AE367" s="259"/>
      <c r="AF367" s="259"/>
      <c r="AG367" s="259"/>
      <c r="AH367" s="259"/>
      <c r="AI367" s="259"/>
      <c r="AJ367" s="265">
        <v>-72.2</v>
      </c>
      <c r="AK367" s="266"/>
      <c r="AL367" s="266">
        <v>25.96</v>
      </c>
      <c r="AM367" s="266"/>
      <c r="AN367" s="266"/>
      <c r="AO367" s="267"/>
      <c r="AP367" s="266"/>
      <c r="AQ367" s="266"/>
      <c r="AR367" s="266"/>
      <c r="AS367" s="266"/>
      <c r="AT367" s="266"/>
      <c r="AU367" s="267"/>
    </row>
    <row r="368" spans="1:47" ht="18" customHeight="1" x14ac:dyDescent="0.35">
      <c r="A368" s="274">
        <f>MATCH(B368,STUDIES!$A$3:$A$502,0)</f>
        <v>34</v>
      </c>
      <c r="B368" s="270" t="s">
        <v>709</v>
      </c>
      <c r="C368" s="459"/>
      <c r="D368" s="269" t="s">
        <v>1081</v>
      </c>
      <c r="E368" s="256" t="s">
        <v>151</v>
      </c>
      <c r="F368" s="155" t="str">
        <f>_xlfn.XLOOKUP(B368,STUDIES!$A$3:$A$1063,STUDIES!$G$3:$G$1063,"Not Found!")</f>
        <v>A</v>
      </c>
      <c r="G368" s="257" t="s">
        <v>147</v>
      </c>
      <c r="H368" s="257">
        <v>16</v>
      </c>
      <c r="I368" s="257">
        <v>46</v>
      </c>
      <c r="J368" s="258"/>
      <c r="K368" s="259">
        <v>24.8</v>
      </c>
      <c r="L368" s="259"/>
      <c r="M368" s="259">
        <v>10.199999999999999</v>
      </c>
      <c r="N368" s="259"/>
      <c r="O368" s="259"/>
      <c r="P368" s="259"/>
      <c r="Q368" s="279" t="s">
        <v>92</v>
      </c>
      <c r="R368" s="289"/>
      <c r="S368" s="259"/>
      <c r="T368" s="259"/>
      <c r="U368" s="259"/>
      <c r="V368" s="259"/>
      <c r="W368" s="259"/>
      <c r="X368" s="264"/>
      <c r="Y368" s="259"/>
      <c r="Z368" s="259"/>
      <c r="AA368" s="259"/>
      <c r="AB368" s="259"/>
      <c r="AC368" s="259"/>
      <c r="AD368" s="264"/>
      <c r="AE368" s="259"/>
      <c r="AF368" s="259"/>
      <c r="AG368" s="259"/>
      <c r="AH368" s="259"/>
      <c r="AI368" s="259"/>
      <c r="AJ368" s="265">
        <v>-59.1</v>
      </c>
      <c r="AK368" s="266"/>
      <c r="AL368" s="266">
        <v>33.090000000000003</v>
      </c>
      <c r="AM368" s="266"/>
      <c r="AN368" s="266"/>
      <c r="AO368" s="267"/>
      <c r="AP368" s="266"/>
      <c r="AQ368" s="266"/>
      <c r="AR368" s="266"/>
      <c r="AS368" s="266"/>
      <c r="AT368" s="266"/>
      <c r="AU368" s="267"/>
    </row>
    <row r="369" spans="1:47" ht="18" customHeight="1" x14ac:dyDescent="0.35">
      <c r="A369" s="274">
        <f>MATCH(B369,STUDIES!$A$3:$A$502,0)</f>
        <v>34</v>
      </c>
      <c r="B369" s="270" t="s">
        <v>709</v>
      </c>
      <c r="C369" s="459"/>
      <c r="D369" s="269" t="s">
        <v>1081</v>
      </c>
      <c r="E369" s="256" t="s">
        <v>695</v>
      </c>
      <c r="F369" s="155" t="str">
        <f>_xlfn.XLOOKUP(B369,STUDIES!$A$3:$A$1063,STUDIES!$G$3:$G$1063,"Not Found!")</f>
        <v>A</v>
      </c>
      <c r="G369" s="257" t="s">
        <v>152</v>
      </c>
      <c r="H369" s="257">
        <v>24</v>
      </c>
      <c r="I369" s="257">
        <v>33</v>
      </c>
      <c r="J369" s="258"/>
      <c r="K369" s="259">
        <v>8.6199999999999992</v>
      </c>
      <c r="L369" s="259"/>
      <c r="M369" s="259">
        <v>1.05</v>
      </c>
      <c r="N369" s="259"/>
      <c r="O369" s="259"/>
      <c r="P369" s="259"/>
      <c r="Q369" s="279" t="s">
        <v>92</v>
      </c>
      <c r="R369" s="289"/>
      <c r="S369" s="259"/>
      <c r="T369" s="259"/>
      <c r="U369" s="259"/>
      <c r="V369" s="259"/>
      <c r="W369" s="259"/>
      <c r="X369" s="264"/>
      <c r="Y369" s="259"/>
      <c r="Z369" s="259"/>
      <c r="AA369" s="259"/>
      <c r="AB369" s="259"/>
      <c r="AC369" s="259"/>
      <c r="AD369" s="264"/>
      <c r="AE369" s="259"/>
      <c r="AF369" s="259"/>
      <c r="AG369" s="259"/>
      <c r="AH369" s="259"/>
      <c r="AI369" s="259"/>
      <c r="AJ369" s="265">
        <v>-65.8</v>
      </c>
      <c r="AK369" s="266"/>
      <c r="AL369" s="266">
        <v>29.94</v>
      </c>
      <c r="AM369" s="266"/>
      <c r="AN369" s="266"/>
      <c r="AO369" s="267"/>
      <c r="AP369" s="266"/>
      <c r="AQ369" s="266"/>
      <c r="AR369" s="266"/>
      <c r="AS369" s="266"/>
      <c r="AT369" s="266"/>
      <c r="AU369" s="267"/>
    </row>
    <row r="370" spans="1:47" ht="18" customHeight="1" x14ac:dyDescent="0.35">
      <c r="A370" s="274">
        <f>MATCH(B370,STUDIES!$A$3:$A$502,0)</f>
        <v>34</v>
      </c>
      <c r="B370" s="270" t="s">
        <v>709</v>
      </c>
      <c r="C370" s="459"/>
      <c r="D370" s="269" t="s">
        <v>1081</v>
      </c>
      <c r="E370" s="256" t="s">
        <v>695</v>
      </c>
      <c r="F370" s="155" t="str">
        <f>_xlfn.XLOOKUP(B370,STUDIES!$A$3:$A$1063,STUDIES!$G$3:$G$1063,"Not Found!")</f>
        <v>A</v>
      </c>
      <c r="G370" s="257" t="s">
        <v>147</v>
      </c>
      <c r="H370" s="257">
        <v>16</v>
      </c>
      <c r="I370" s="257">
        <v>39</v>
      </c>
      <c r="J370" s="258"/>
      <c r="K370" s="259">
        <v>8.6199999999999992</v>
      </c>
      <c r="L370" s="259"/>
      <c r="M370" s="259">
        <v>1.05</v>
      </c>
      <c r="N370" s="259"/>
      <c r="O370" s="259"/>
      <c r="P370" s="259"/>
      <c r="Q370" s="279" t="s">
        <v>92</v>
      </c>
      <c r="R370" s="289"/>
      <c r="S370" s="259"/>
      <c r="T370" s="259"/>
      <c r="U370" s="259"/>
      <c r="V370" s="259"/>
      <c r="W370" s="259"/>
      <c r="X370" s="264"/>
      <c r="Y370" s="259"/>
      <c r="Z370" s="259"/>
      <c r="AA370" s="259"/>
      <c r="AB370" s="259"/>
      <c r="AC370" s="259"/>
      <c r="AD370" s="264"/>
      <c r="AE370" s="259"/>
      <c r="AF370" s="259"/>
      <c r="AG370" s="259"/>
      <c r="AH370" s="259"/>
      <c r="AI370" s="259"/>
      <c r="AJ370" s="265">
        <v>-61.4</v>
      </c>
      <c r="AK370" s="266"/>
      <c r="AL370" s="266">
        <v>28.62</v>
      </c>
      <c r="AM370" s="266"/>
      <c r="AN370" s="266"/>
      <c r="AO370" s="267"/>
      <c r="AP370" s="266"/>
      <c r="AQ370" s="266"/>
      <c r="AR370" s="266"/>
      <c r="AS370" s="266"/>
      <c r="AT370" s="266"/>
      <c r="AU370" s="267"/>
    </row>
    <row r="371" spans="1:47" ht="18" customHeight="1" x14ac:dyDescent="0.35">
      <c r="A371" s="274">
        <f>MATCH(B371,STUDIES!$A$3:$A$502,0)</f>
        <v>34</v>
      </c>
      <c r="B371" s="272" t="s">
        <v>709</v>
      </c>
      <c r="D371" s="269" t="s">
        <v>1081</v>
      </c>
      <c r="E371" s="272" t="s">
        <v>1163</v>
      </c>
      <c r="F371" s="155" t="str">
        <f>_xlfn.XLOOKUP(B371,STUDIES!$A$3:$A$1063,STUDIES!$G$3:$G$1063,"Not Found!")</f>
        <v>A</v>
      </c>
      <c r="G371" s="273" t="s">
        <v>152</v>
      </c>
      <c r="H371" s="273">
        <v>24</v>
      </c>
      <c r="I371" s="273">
        <v>55</v>
      </c>
      <c r="J371" s="274">
        <v>3</v>
      </c>
    </row>
    <row r="372" spans="1:47" ht="18" customHeight="1" x14ac:dyDescent="0.35">
      <c r="A372" s="274">
        <f>MATCH(B372,STUDIES!$A$3:$A$502,0)</f>
        <v>34</v>
      </c>
      <c r="B372" s="272" t="s">
        <v>709</v>
      </c>
      <c r="D372" s="281" t="s">
        <v>1081</v>
      </c>
      <c r="E372" s="272" t="s">
        <v>1167</v>
      </c>
      <c r="F372" s="155" t="str">
        <f>_xlfn.XLOOKUP(B372,STUDIES!$A$3:$A$1063,STUDIES!$G$3:$G$1063,"Not Found!")</f>
        <v>A</v>
      </c>
      <c r="G372" s="273" t="s">
        <v>152</v>
      </c>
      <c r="H372" s="273">
        <v>24</v>
      </c>
      <c r="I372" s="273">
        <v>55</v>
      </c>
      <c r="J372" s="274">
        <v>3</v>
      </c>
      <c r="Q372" s="275"/>
      <c r="R372" s="276"/>
    </row>
    <row r="373" spans="1:47" ht="18" customHeight="1" x14ac:dyDescent="0.35">
      <c r="A373" s="274">
        <f>MATCH(B373,STUDIES!$A$3:$A$502,0)</f>
        <v>34</v>
      </c>
      <c r="B373" s="270" t="s">
        <v>709</v>
      </c>
      <c r="C373" s="459"/>
      <c r="D373" s="269" t="s">
        <v>1082</v>
      </c>
      <c r="E373" s="256" t="s">
        <v>151</v>
      </c>
      <c r="F373" s="155" t="str">
        <f>_xlfn.XLOOKUP(B373,STUDIES!$A$3:$A$1063,STUDIES!$G$3:$G$1063,"Not Found!")</f>
        <v>A</v>
      </c>
      <c r="G373" s="257" t="s">
        <v>152</v>
      </c>
      <c r="H373" s="257">
        <v>24</v>
      </c>
      <c r="I373" s="257">
        <v>44</v>
      </c>
      <c r="J373" s="258"/>
      <c r="K373" s="259">
        <v>25.87</v>
      </c>
      <c r="L373" s="259"/>
      <c r="M373" s="259">
        <v>10.53</v>
      </c>
      <c r="N373" s="259"/>
      <c r="O373" s="259"/>
      <c r="P373" s="259"/>
      <c r="Q373" s="271" t="s">
        <v>92</v>
      </c>
      <c r="R373" s="264"/>
      <c r="S373" s="259"/>
      <c r="T373" s="259"/>
      <c r="U373" s="259"/>
      <c r="V373" s="259"/>
      <c r="W373" s="259"/>
      <c r="X373" s="264"/>
      <c r="Y373" s="259"/>
      <c r="Z373" s="259"/>
      <c r="AA373" s="259"/>
      <c r="AB373" s="259"/>
      <c r="AC373" s="259"/>
      <c r="AD373" s="264"/>
      <c r="AE373" s="259"/>
      <c r="AF373" s="259"/>
      <c r="AG373" s="259"/>
      <c r="AH373" s="259"/>
      <c r="AI373" s="259"/>
      <c r="AJ373" s="265">
        <v>-73.400000000000006</v>
      </c>
      <c r="AK373" s="266"/>
      <c r="AL373" s="266">
        <v>26.96</v>
      </c>
      <c r="AM373" s="266"/>
      <c r="AN373" s="266"/>
      <c r="AO373" s="267"/>
      <c r="AP373" s="266"/>
      <c r="AQ373" s="266"/>
      <c r="AR373" s="266"/>
      <c r="AS373" s="266"/>
      <c r="AT373" s="266"/>
      <c r="AU373" s="267"/>
    </row>
    <row r="374" spans="1:47" ht="18" customHeight="1" x14ac:dyDescent="0.35">
      <c r="A374" s="274">
        <f>MATCH(B374,STUDIES!$A$3:$A$502,0)</f>
        <v>34</v>
      </c>
      <c r="B374" s="270" t="s">
        <v>709</v>
      </c>
      <c r="C374" s="459"/>
      <c r="D374" s="269" t="s">
        <v>1082</v>
      </c>
      <c r="E374" s="256" t="s">
        <v>151</v>
      </c>
      <c r="F374" s="155" t="str">
        <f>_xlfn.XLOOKUP(B374,STUDIES!$A$3:$A$1063,STUDIES!$G$3:$G$1063,"Not Found!")</f>
        <v>A</v>
      </c>
      <c r="G374" s="257" t="s">
        <v>147</v>
      </c>
      <c r="H374" s="257">
        <v>16</v>
      </c>
      <c r="I374" s="257">
        <v>47</v>
      </c>
      <c r="J374" s="258"/>
      <c r="K374" s="259">
        <v>25.87</v>
      </c>
      <c r="L374" s="259"/>
      <c r="M374" s="259">
        <v>10.53</v>
      </c>
      <c r="N374" s="259"/>
      <c r="O374" s="259"/>
      <c r="P374" s="259"/>
      <c r="Q374" s="271" t="s">
        <v>92</v>
      </c>
      <c r="R374" s="264"/>
      <c r="S374" s="259"/>
      <c r="T374" s="259"/>
      <c r="U374" s="259"/>
      <c r="V374" s="259"/>
      <c r="W374" s="259"/>
      <c r="X374" s="264"/>
      <c r="Y374" s="259"/>
      <c r="Z374" s="259"/>
      <c r="AA374" s="259"/>
      <c r="AB374" s="259"/>
      <c r="AC374" s="259"/>
      <c r="AD374" s="264"/>
      <c r="AE374" s="259"/>
      <c r="AF374" s="259"/>
      <c r="AG374" s="259"/>
      <c r="AH374" s="259"/>
      <c r="AI374" s="259"/>
      <c r="AJ374" s="265">
        <v>-72.2</v>
      </c>
      <c r="AK374" s="266"/>
      <c r="AL374" s="266">
        <v>27.59</v>
      </c>
      <c r="AM374" s="266"/>
      <c r="AN374" s="266"/>
      <c r="AO374" s="267"/>
      <c r="AP374" s="266"/>
      <c r="AQ374" s="266"/>
      <c r="AR374" s="266"/>
      <c r="AS374" s="266"/>
      <c r="AT374" s="266"/>
      <c r="AU374" s="267"/>
    </row>
    <row r="375" spans="1:47" ht="18" customHeight="1" x14ac:dyDescent="0.35">
      <c r="A375" s="274">
        <f>MATCH(B375,STUDIES!$A$3:$A$502,0)</f>
        <v>34</v>
      </c>
      <c r="B375" s="270" t="s">
        <v>709</v>
      </c>
      <c r="C375" s="459"/>
      <c r="D375" s="269" t="s">
        <v>1082</v>
      </c>
      <c r="E375" s="256" t="s">
        <v>695</v>
      </c>
      <c r="F375" s="155" t="str">
        <f>_xlfn.XLOOKUP(B375,STUDIES!$A$3:$A$1063,STUDIES!$G$3:$G$1063,"Not Found!")</f>
        <v>A</v>
      </c>
      <c r="G375" s="257" t="s">
        <v>152</v>
      </c>
      <c r="H375" s="257">
        <v>24</v>
      </c>
      <c r="I375" s="257">
        <v>36</v>
      </c>
      <c r="J375" s="258"/>
      <c r="K375" s="259">
        <v>8.2200000000000006</v>
      </c>
      <c r="L375" s="259"/>
      <c r="M375" s="259">
        <v>1.39</v>
      </c>
      <c r="N375" s="259"/>
      <c r="O375" s="259"/>
      <c r="P375" s="259"/>
      <c r="Q375" s="271" t="s">
        <v>92</v>
      </c>
      <c r="R375" s="264"/>
      <c r="S375" s="259"/>
      <c r="T375" s="259"/>
      <c r="U375" s="259"/>
      <c r="V375" s="259"/>
      <c r="W375" s="259"/>
      <c r="X375" s="264"/>
      <c r="Y375" s="259"/>
      <c r="Z375" s="259"/>
      <c r="AA375" s="259"/>
      <c r="AB375" s="259"/>
      <c r="AC375" s="259"/>
      <c r="AD375" s="264"/>
      <c r="AE375" s="259"/>
      <c r="AF375" s="259"/>
      <c r="AG375" s="259"/>
      <c r="AH375" s="259"/>
      <c r="AI375" s="259"/>
      <c r="AJ375" s="265">
        <v>-66.900000000000006</v>
      </c>
      <c r="AK375" s="266"/>
      <c r="AL375" s="266">
        <v>38.6</v>
      </c>
      <c r="AM375" s="266"/>
      <c r="AN375" s="266"/>
      <c r="AO375" s="267"/>
      <c r="AP375" s="266"/>
      <c r="AQ375" s="266"/>
      <c r="AR375" s="266"/>
      <c r="AS375" s="266"/>
      <c r="AT375" s="266"/>
      <c r="AU375" s="267"/>
    </row>
    <row r="376" spans="1:47" ht="18" customHeight="1" x14ac:dyDescent="0.35">
      <c r="A376" s="274">
        <f>MATCH(B376,STUDIES!$A$3:$A$502,0)</f>
        <v>34</v>
      </c>
      <c r="B376" s="270" t="s">
        <v>709</v>
      </c>
      <c r="C376" s="459"/>
      <c r="D376" s="269" t="s">
        <v>1082</v>
      </c>
      <c r="E376" s="256" t="s">
        <v>695</v>
      </c>
      <c r="F376" s="155" t="str">
        <f>_xlfn.XLOOKUP(B376,STUDIES!$A$3:$A$1063,STUDIES!$G$3:$G$1063,"Not Found!")</f>
        <v>A</v>
      </c>
      <c r="G376" s="257" t="s">
        <v>147</v>
      </c>
      <c r="H376" s="257">
        <v>16</v>
      </c>
      <c r="I376" s="257">
        <v>47</v>
      </c>
      <c r="J376" s="258"/>
      <c r="K376" s="259">
        <v>8.2200000000000006</v>
      </c>
      <c r="L376" s="259"/>
      <c r="M376" s="259">
        <v>1.39</v>
      </c>
      <c r="N376" s="259"/>
      <c r="O376" s="259"/>
      <c r="P376" s="259"/>
      <c r="Q376" s="271" t="s">
        <v>92</v>
      </c>
      <c r="R376" s="264"/>
      <c r="S376" s="259"/>
      <c r="T376" s="259"/>
      <c r="U376" s="259"/>
      <c r="V376" s="259"/>
      <c r="W376" s="259"/>
      <c r="X376" s="264"/>
      <c r="Y376" s="259"/>
      <c r="Z376" s="259"/>
      <c r="AA376" s="259"/>
      <c r="AB376" s="259"/>
      <c r="AC376" s="259"/>
      <c r="AD376" s="264"/>
      <c r="AE376" s="259"/>
      <c r="AF376" s="259"/>
      <c r="AG376" s="259"/>
      <c r="AH376" s="259"/>
      <c r="AI376" s="259"/>
      <c r="AJ376" s="265">
        <v>-71.7</v>
      </c>
      <c r="AK376" s="266"/>
      <c r="AL376" s="266">
        <v>22.53</v>
      </c>
      <c r="AM376" s="266"/>
      <c r="AN376" s="266"/>
      <c r="AO376" s="267"/>
      <c r="AP376" s="266"/>
      <c r="AQ376" s="266"/>
      <c r="AR376" s="266"/>
      <c r="AS376" s="266"/>
      <c r="AT376" s="266"/>
      <c r="AU376" s="267"/>
    </row>
    <row r="377" spans="1:47" ht="18" customHeight="1" x14ac:dyDescent="0.35">
      <c r="A377" s="274">
        <f>MATCH(B377,STUDIES!$A$3:$A$502,0)</f>
        <v>34</v>
      </c>
      <c r="B377" s="272" t="s">
        <v>709</v>
      </c>
      <c r="D377" s="269" t="s">
        <v>1082</v>
      </c>
      <c r="E377" s="272" t="s">
        <v>1163</v>
      </c>
      <c r="F377" s="155" t="str">
        <f>_xlfn.XLOOKUP(B377,STUDIES!$A$3:$A$1063,STUDIES!$G$3:$G$1063,"Not Found!")</f>
        <v>A</v>
      </c>
      <c r="G377" s="273" t="s">
        <v>152</v>
      </c>
      <c r="H377" s="273">
        <v>24</v>
      </c>
      <c r="I377" s="273">
        <v>57</v>
      </c>
      <c r="J377" s="274">
        <v>2</v>
      </c>
      <c r="Q377" s="275"/>
      <c r="R377" s="276"/>
    </row>
    <row r="378" spans="1:47" ht="18" customHeight="1" x14ac:dyDescent="0.35">
      <c r="A378" s="274">
        <f>MATCH(B378,STUDIES!$A$3:$A$502,0)</f>
        <v>34</v>
      </c>
      <c r="B378" s="272" t="s">
        <v>709</v>
      </c>
      <c r="D378" s="281" t="s">
        <v>1082</v>
      </c>
      <c r="E378" s="272" t="s">
        <v>1167</v>
      </c>
      <c r="F378" s="155" t="str">
        <f>_xlfn.XLOOKUP(B378,STUDIES!$A$3:$A$1063,STUDIES!$G$3:$G$1063,"Not Found!")</f>
        <v>A</v>
      </c>
      <c r="G378" s="273" t="s">
        <v>152</v>
      </c>
      <c r="H378" s="273">
        <v>24</v>
      </c>
      <c r="I378" s="273">
        <v>57</v>
      </c>
      <c r="J378" s="274">
        <v>2</v>
      </c>
      <c r="Q378" s="275"/>
      <c r="R378" s="276"/>
    </row>
    <row r="379" spans="1:47" ht="18" customHeight="1" x14ac:dyDescent="0.35">
      <c r="A379" s="274">
        <f>MATCH(B379,STUDIES!$A$3:$A$502,0)</f>
        <v>34</v>
      </c>
      <c r="B379" s="270" t="s">
        <v>709</v>
      </c>
      <c r="C379" s="459"/>
      <c r="D379" s="269" t="s">
        <v>1083</v>
      </c>
      <c r="E379" s="256" t="s">
        <v>151</v>
      </c>
      <c r="F379" s="155" t="str">
        <f>_xlfn.XLOOKUP(B379,STUDIES!$A$3:$A$1063,STUDIES!$G$3:$G$1063,"Not Found!")</f>
        <v>A</v>
      </c>
      <c r="G379" s="257" t="s">
        <v>152</v>
      </c>
      <c r="H379" s="257">
        <v>24</v>
      </c>
      <c r="I379" s="257">
        <v>40</v>
      </c>
      <c r="J379" s="258"/>
      <c r="K379" s="259">
        <v>24.24</v>
      </c>
      <c r="L379" s="259"/>
      <c r="M379" s="259">
        <v>10.41</v>
      </c>
      <c r="N379" s="259"/>
      <c r="O379" s="259"/>
      <c r="P379" s="259"/>
      <c r="Q379" s="271" t="s">
        <v>92</v>
      </c>
      <c r="R379" s="264"/>
      <c r="S379" s="259"/>
      <c r="T379" s="259"/>
      <c r="U379" s="259"/>
      <c r="V379" s="259"/>
      <c r="W379" s="259"/>
      <c r="X379" s="264"/>
      <c r="Y379" s="259"/>
      <c r="Z379" s="259"/>
      <c r="AA379" s="259"/>
      <c r="AB379" s="259"/>
      <c r="AC379" s="259"/>
      <c r="AD379" s="264"/>
      <c r="AE379" s="259"/>
      <c r="AF379" s="259"/>
      <c r="AG379" s="259"/>
      <c r="AH379" s="259"/>
      <c r="AI379" s="259"/>
      <c r="AJ379" s="265">
        <v>-69.2</v>
      </c>
      <c r="AK379" s="266"/>
      <c r="AL379" s="266">
        <v>31.06</v>
      </c>
      <c r="AM379" s="266"/>
      <c r="AN379" s="266"/>
      <c r="AO379" s="267"/>
      <c r="AP379" s="266"/>
      <c r="AQ379" s="266"/>
      <c r="AR379" s="266"/>
      <c r="AS379" s="266"/>
      <c r="AT379" s="266"/>
      <c r="AU379" s="267"/>
    </row>
    <row r="380" spans="1:47" ht="18" customHeight="1" x14ac:dyDescent="0.35">
      <c r="A380" s="274">
        <f>MATCH(B380,STUDIES!$A$3:$A$502,0)</f>
        <v>34</v>
      </c>
      <c r="B380" s="270" t="s">
        <v>709</v>
      </c>
      <c r="C380" s="459"/>
      <c r="D380" s="269" t="s">
        <v>1083</v>
      </c>
      <c r="E380" s="256" t="s">
        <v>151</v>
      </c>
      <c r="F380" s="155" t="str">
        <f>_xlfn.XLOOKUP(B380,STUDIES!$A$3:$A$1063,STUDIES!$G$3:$G$1063,"Not Found!")</f>
        <v>A</v>
      </c>
      <c r="G380" s="257" t="s">
        <v>147</v>
      </c>
      <c r="H380" s="257">
        <v>16</v>
      </c>
      <c r="I380" s="257">
        <v>45</v>
      </c>
      <c r="J380" s="258"/>
      <c r="K380" s="259">
        <v>24.24</v>
      </c>
      <c r="L380" s="259"/>
      <c r="M380" s="259">
        <v>10.41</v>
      </c>
      <c r="N380" s="259"/>
      <c r="O380" s="259"/>
      <c r="P380" s="259"/>
      <c r="Q380" s="271" t="s">
        <v>92</v>
      </c>
      <c r="R380" s="264"/>
      <c r="S380" s="259"/>
      <c r="T380" s="259"/>
      <c r="U380" s="259"/>
      <c r="V380" s="259"/>
      <c r="W380" s="259"/>
      <c r="X380" s="264"/>
      <c r="Y380" s="259"/>
      <c r="Z380" s="259"/>
      <c r="AA380" s="259"/>
      <c r="AB380" s="259"/>
      <c r="AC380" s="259"/>
      <c r="AD380" s="264"/>
      <c r="AE380" s="259"/>
      <c r="AF380" s="259"/>
      <c r="AG380" s="259"/>
      <c r="AH380" s="259"/>
      <c r="AI380" s="259"/>
      <c r="AJ380" s="265">
        <v>-61.8</v>
      </c>
      <c r="AK380" s="266"/>
      <c r="AL380" s="266">
        <v>41.62</v>
      </c>
      <c r="AM380" s="266"/>
      <c r="AN380" s="266"/>
      <c r="AO380" s="267"/>
      <c r="AP380" s="266"/>
      <c r="AQ380" s="266"/>
      <c r="AR380" s="266"/>
      <c r="AS380" s="266"/>
      <c r="AT380" s="266"/>
      <c r="AU380" s="267"/>
    </row>
    <row r="381" spans="1:47" ht="18" customHeight="1" x14ac:dyDescent="0.35">
      <c r="A381" s="274">
        <f>MATCH(B381,STUDIES!$A$3:$A$502,0)</f>
        <v>34</v>
      </c>
      <c r="B381" s="270" t="s">
        <v>709</v>
      </c>
      <c r="C381" s="459"/>
      <c r="D381" s="269" t="s">
        <v>1083</v>
      </c>
      <c r="E381" s="256" t="s">
        <v>695</v>
      </c>
      <c r="F381" s="155" t="str">
        <f>_xlfn.XLOOKUP(B381,STUDIES!$A$3:$A$1063,STUDIES!$G$3:$G$1063,"Not Found!")</f>
        <v>A</v>
      </c>
      <c r="G381" s="257" t="s">
        <v>152</v>
      </c>
      <c r="H381" s="257">
        <v>24</v>
      </c>
      <c r="I381" s="257">
        <v>31</v>
      </c>
      <c r="J381" s="258"/>
      <c r="K381" s="259">
        <v>8.2200000000000006</v>
      </c>
      <c r="L381" s="259"/>
      <c r="M381" s="259">
        <v>1.29</v>
      </c>
      <c r="N381" s="259"/>
      <c r="O381" s="259"/>
      <c r="P381" s="259"/>
      <c r="Q381" s="271" t="s">
        <v>92</v>
      </c>
      <c r="R381" s="264"/>
      <c r="S381" s="259"/>
      <c r="T381" s="259"/>
      <c r="U381" s="259"/>
      <c r="V381" s="259"/>
      <c r="W381" s="259"/>
      <c r="X381" s="264"/>
      <c r="Y381" s="259"/>
      <c r="Z381" s="259"/>
      <c r="AA381" s="259"/>
      <c r="AB381" s="259"/>
      <c r="AC381" s="259"/>
      <c r="AD381" s="264"/>
      <c r="AE381" s="259"/>
      <c r="AF381" s="259"/>
      <c r="AG381" s="259"/>
      <c r="AH381" s="259"/>
      <c r="AI381" s="259"/>
      <c r="AJ381" s="265">
        <v>-68.2</v>
      </c>
      <c r="AK381" s="266"/>
      <c r="AL381" s="266">
        <v>26.88</v>
      </c>
      <c r="AM381" s="266"/>
      <c r="AN381" s="266"/>
      <c r="AO381" s="267"/>
      <c r="AP381" s="266"/>
      <c r="AQ381" s="266"/>
      <c r="AR381" s="266"/>
      <c r="AS381" s="266"/>
      <c r="AT381" s="266"/>
      <c r="AU381" s="267"/>
    </row>
    <row r="382" spans="1:47" ht="18" customHeight="1" x14ac:dyDescent="0.35">
      <c r="A382" s="274">
        <f>MATCH(B382,STUDIES!$A$3:$A$502,0)</f>
        <v>34</v>
      </c>
      <c r="B382" s="270" t="s">
        <v>709</v>
      </c>
      <c r="C382" s="459"/>
      <c r="D382" s="269" t="s">
        <v>1083</v>
      </c>
      <c r="E382" s="256" t="s">
        <v>695</v>
      </c>
      <c r="F382" s="155" t="str">
        <f>_xlfn.XLOOKUP(B382,STUDIES!$A$3:$A$1063,STUDIES!$G$3:$G$1063,"Not Found!")</f>
        <v>A</v>
      </c>
      <c r="G382" s="257" t="s">
        <v>147</v>
      </c>
      <c r="H382" s="257">
        <v>16</v>
      </c>
      <c r="I382" s="257">
        <v>40</v>
      </c>
      <c r="J382" s="258"/>
      <c r="K382" s="259">
        <v>8.2200000000000006</v>
      </c>
      <c r="L382" s="259"/>
      <c r="M382" s="259">
        <v>1.29</v>
      </c>
      <c r="N382" s="259"/>
      <c r="O382" s="259"/>
      <c r="P382" s="259"/>
      <c r="Q382" s="271" t="s">
        <v>92</v>
      </c>
      <c r="R382" s="264"/>
      <c r="S382" s="259"/>
      <c r="T382" s="259"/>
      <c r="U382" s="259"/>
      <c r="V382" s="259"/>
      <c r="W382" s="259"/>
      <c r="X382" s="264"/>
      <c r="Y382" s="259"/>
      <c r="Z382" s="259"/>
      <c r="AA382" s="259"/>
      <c r="AB382" s="259"/>
      <c r="AC382" s="259"/>
      <c r="AD382" s="264"/>
      <c r="AE382" s="259"/>
      <c r="AF382" s="259"/>
      <c r="AG382" s="259"/>
      <c r="AH382" s="259"/>
      <c r="AI382" s="259"/>
      <c r="AJ382" s="265">
        <v>-63.7</v>
      </c>
      <c r="AK382" s="266"/>
      <c r="AL382" s="266">
        <v>33.07</v>
      </c>
      <c r="AM382" s="266"/>
      <c r="AN382" s="266"/>
      <c r="AO382" s="267"/>
      <c r="AP382" s="266"/>
      <c r="AQ382" s="266"/>
      <c r="AR382" s="266"/>
      <c r="AS382" s="266"/>
      <c r="AT382" s="266"/>
      <c r="AU382" s="267"/>
    </row>
    <row r="383" spans="1:47" ht="18" customHeight="1" x14ac:dyDescent="0.35">
      <c r="A383" s="274">
        <f>MATCH(B383,STUDIES!$A$3:$A$502,0)</f>
        <v>34</v>
      </c>
      <c r="B383" s="272" t="s">
        <v>709</v>
      </c>
      <c r="D383" s="269" t="s">
        <v>1083</v>
      </c>
      <c r="E383" s="272" t="s">
        <v>1163</v>
      </c>
      <c r="F383" s="155" t="str">
        <f>_xlfn.XLOOKUP(B383,STUDIES!$A$3:$A$1063,STUDIES!$G$3:$G$1063,"Not Found!")</f>
        <v>A</v>
      </c>
      <c r="G383" s="273" t="s">
        <v>152</v>
      </c>
      <c r="H383" s="273">
        <v>24</v>
      </c>
      <c r="I383" s="273">
        <v>57</v>
      </c>
      <c r="J383" s="274">
        <v>2</v>
      </c>
      <c r="Q383" s="275"/>
      <c r="R383" s="276"/>
    </row>
    <row r="384" spans="1:47" ht="18" customHeight="1" x14ac:dyDescent="0.35">
      <c r="A384" s="274">
        <f>MATCH(B384,STUDIES!$A$3:$A$502,0)</f>
        <v>34</v>
      </c>
      <c r="B384" s="272" t="s">
        <v>709</v>
      </c>
      <c r="D384" s="281" t="s">
        <v>1083</v>
      </c>
      <c r="E384" s="272" t="s">
        <v>1167</v>
      </c>
      <c r="F384" s="155" t="str">
        <f>_xlfn.XLOOKUP(B384,STUDIES!$A$3:$A$1063,STUDIES!$G$3:$G$1063,"Not Found!")</f>
        <v>A</v>
      </c>
      <c r="G384" s="273" t="s">
        <v>152</v>
      </c>
      <c r="H384" s="273">
        <v>24</v>
      </c>
      <c r="I384" s="273">
        <v>57</v>
      </c>
      <c r="J384" s="274">
        <v>3</v>
      </c>
      <c r="Q384" s="275"/>
      <c r="R384" s="276"/>
    </row>
    <row r="385" spans="1:47" ht="18" customHeight="1" x14ac:dyDescent="0.35">
      <c r="A385" s="274">
        <f>MATCH(B385,STUDIES!$A$3:$A$502,0)</f>
        <v>34</v>
      </c>
      <c r="B385" s="270" t="s">
        <v>709</v>
      </c>
      <c r="C385" s="459"/>
      <c r="D385" s="269" t="s">
        <v>148</v>
      </c>
      <c r="E385" s="256" t="s">
        <v>151</v>
      </c>
      <c r="F385" s="155" t="str">
        <f>_xlfn.XLOOKUP(B385,STUDIES!$A$3:$A$1063,STUDIES!$G$3:$G$1063,"Not Found!")</f>
        <v>A</v>
      </c>
      <c r="G385" s="257" t="s">
        <v>152</v>
      </c>
      <c r="H385" s="257">
        <v>24</v>
      </c>
      <c r="I385" s="257">
        <v>38</v>
      </c>
      <c r="J385" s="258"/>
      <c r="K385" s="259">
        <v>26.96</v>
      </c>
      <c r="L385" s="259"/>
      <c r="M385" s="259">
        <v>12.44</v>
      </c>
      <c r="N385" s="259"/>
      <c r="O385" s="259"/>
      <c r="P385" s="259"/>
      <c r="Q385" s="271" t="s">
        <v>92</v>
      </c>
      <c r="R385" s="264"/>
      <c r="S385" s="259"/>
      <c r="T385" s="259"/>
      <c r="U385" s="259"/>
      <c r="V385" s="259"/>
      <c r="W385" s="259"/>
      <c r="X385" s="264"/>
      <c r="Y385" s="259"/>
      <c r="Z385" s="259"/>
      <c r="AA385" s="259"/>
      <c r="AB385" s="259"/>
      <c r="AC385" s="259"/>
      <c r="AD385" s="264"/>
      <c r="AE385" s="259"/>
      <c r="AF385" s="259"/>
      <c r="AG385" s="259"/>
      <c r="AH385" s="259"/>
      <c r="AI385" s="259"/>
      <c r="AJ385" s="265">
        <v>-58.4</v>
      </c>
      <c r="AK385" s="266"/>
      <c r="AL385" s="266">
        <v>31.99</v>
      </c>
      <c r="AM385" s="266"/>
      <c r="AN385" s="266"/>
      <c r="AO385" s="267"/>
      <c r="AP385" s="266"/>
      <c r="AQ385" s="266"/>
      <c r="AR385" s="266"/>
      <c r="AS385" s="266"/>
      <c r="AT385" s="266"/>
      <c r="AU385" s="267"/>
    </row>
    <row r="386" spans="1:47" ht="18" customHeight="1" x14ac:dyDescent="0.35">
      <c r="A386" s="274">
        <f>MATCH(B386,STUDIES!$A$3:$A$502,0)</f>
        <v>34</v>
      </c>
      <c r="B386" s="270" t="s">
        <v>709</v>
      </c>
      <c r="C386" s="459"/>
      <c r="D386" s="269" t="s">
        <v>148</v>
      </c>
      <c r="E386" s="256" t="s">
        <v>151</v>
      </c>
      <c r="F386" s="155" t="str">
        <f>_xlfn.XLOOKUP(B386,STUDIES!$A$3:$A$1063,STUDIES!$G$3:$G$1063,"Not Found!")</f>
        <v>A</v>
      </c>
      <c r="G386" s="257" t="s">
        <v>147</v>
      </c>
      <c r="H386" s="257">
        <v>16</v>
      </c>
      <c r="I386" s="257">
        <v>44</v>
      </c>
      <c r="J386" s="258"/>
      <c r="K386" s="259">
        <v>26.96</v>
      </c>
      <c r="L386" s="259"/>
      <c r="M386" s="259">
        <v>12.44</v>
      </c>
      <c r="N386" s="259"/>
      <c r="O386" s="259"/>
      <c r="P386" s="259"/>
      <c r="Q386" s="271" t="s">
        <v>92</v>
      </c>
      <c r="R386" s="264"/>
      <c r="S386" s="259"/>
      <c r="T386" s="259"/>
      <c r="U386" s="259"/>
      <c r="V386" s="259"/>
      <c r="W386" s="259"/>
      <c r="X386" s="264"/>
      <c r="Y386" s="259"/>
      <c r="Z386" s="259"/>
      <c r="AA386" s="259"/>
      <c r="AB386" s="259"/>
      <c r="AC386" s="259"/>
      <c r="AD386" s="264"/>
      <c r="AE386" s="259"/>
      <c r="AF386" s="259"/>
      <c r="AG386" s="259"/>
      <c r="AH386" s="259"/>
      <c r="AI386" s="259"/>
      <c r="AJ386" s="265">
        <v>-47.6</v>
      </c>
      <c r="AK386" s="266"/>
      <c r="AL386" s="266">
        <v>32.090000000000003</v>
      </c>
      <c r="AM386" s="266"/>
      <c r="AN386" s="266"/>
      <c r="AO386" s="267"/>
      <c r="AP386" s="266"/>
      <c r="AQ386" s="266"/>
      <c r="AR386" s="266"/>
      <c r="AS386" s="266"/>
      <c r="AT386" s="266"/>
      <c r="AU386" s="267"/>
    </row>
    <row r="387" spans="1:47" ht="18" customHeight="1" x14ac:dyDescent="0.35">
      <c r="A387" s="274">
        <f>MATCH(B387,STUDIES!$A$3:$A$502,0)</f>
        <v>34</v>
      </c>
      <c r="B387" s="270" t="s">
        <v>709</v>
      </c>
      <c r="C387" s="459"/>
      <c r="D387" s="269" t="s">
        <v>148</v>
      </c>
      <c r="E387" s="256" t="s">
        <v>695</v>
      </c>
      <c r="F387" s="155" t="str">
        <f>_xlfn.XLOOKUP(B387,STUDIES!$A$3:$A$1063,STUDIES!$G$3:$G$1063,"Not Found!")</f>
        <v>A</v>
      </c>
      <c r="G387" s="257" t="s">
        <v>152</v>
      </c>
      <c r="H387" s="257">
        <v>24</v>
      </c>
      <c r="I387" s="257">
        <v>32</v>
      </c>
      <c r="J387" s="258"/>
      <c r="K387" s="259">
        <v>8.16</v>
      </c>
      <c r="L387" s="259"/>
      <c r="M387" s="259">
        <v>1.17</v>
      </c>
      <c r="N387" s="259"/>
      <c r="O387" s="259"/>
      <c r="P387" s="259"/>
      <c r="Q387" s="271" t="s">
        <v>92</v>
      </c>
      <c r="R387" s="264"/>
      <c r="S387" s="259"/>
      <c r="T387" s="259"/>
      <c r="U387" s="259"/>
      <c r="V387" s="259"/>
      <c r="W387" s="259"/>
      <c r="X387" s="264"/>
      <c r="Y387" s="259"/>
      <c r="Z387" s="259"/>
      <c r="AA387" s="259"/>
      <c r="AB387" s="259"/>
      <c r="AC387" s="259"/>
      <c r="AD387" s="264"/>
      <c r="AE387" s="259"/>
      <c r="AF387" s="259"/>
      <c r="AG387" s="259"/>
      <c r="AH387" s="259"/>
      <c r="AI387" s="259"/>
      <c r="AJ387" s="265">
        <v>-42.2</v>
      </c>
      <c r="AK387" s="266"/>
      <c r="AL387" s="266">
        <v>31.66</v>
      </c>
      <c r="AM387" s="266"/>
      <c r="AN387" s="266"/>
      <c r="AO387" s="267"/>
      <c r="AP387" s="266"/>
      <c r="AQ387" s="266"/>
      <c r="AR387" s="266"/>
      <c r="AS387" s="266"/>
      <c r="AT387" s="266"/>
      <c r="AU387" s="267"/>
    </row>
    <row r="388" spans="1:47" ht="18" customHeight="1" x14ac:dyDescent="0.35">
      <c r="A388" s="274">
        <f>MATCH(B388,STUDIES!$A$3:$A$502,0)</f>
        <v>34</v>
      </c>
      <c r="B388" s="270" t="s">
        <v>709</v>
      </c>
      <c r="C388" s="459"/>
      <c r="D388" s="269" t="s">
        <v>148</v>
      </c>
      <c r="E388" s="256" t="s">
        <v>695</v>
      </c>
      <c r="F388" s="155" t="str">
        <f>_xlfn.XLOOKUP(B388,STUDIES!$A$3:$A$1063,STUDIES!$G$3:$G$1063,"Not Found!")</f>
        <v>A</v>
      </c>
      <c r="G388" s="257" t="s">
        <v>147</v>
      </c>
      <c r="H388" s="257">
        <v>16</v>
      </c>
      <c r="I388" s="257">
        <v>39</v>
      </c>
      <c r="J388" s="258"/>
      <c r="K388" s="259">
        <v>8.16</v>
      </c>
      <c r="L388" s="259"/>
      <c r="M388" s="259">
        <v>1.17</v>
      </c>
      <c r="N388" s="259"/>
      <c r="O388" s="259"/>
      <c r="P388" s="259"/>
      <c r="Q388" s="271" t="s">
        <v>92</v>
      </c>
      <c r="R388" s="264"/>
      <c r="S388" s="259"/>
      <c r="T388" s="259"/>
      <c r="U388" s="259"/>
      <c r="V388" s="259"/>
      <c r="W388" s="259"/>
      <c r="X388" s="264"/>
      <c r="Y388" s="259"/>
      <c r="Z388" s="259"/>
      <c r="AA388" s="259"/>
      <c r="AB388" s="259"/>
      <c r="AC388" s="259"/>
      <c r="AD388" s="264"/>
      <c r="AE388" s="259"/>
      <c r="AF388" s="259"/>
      <c r="AG388" s="259"/>
      <c r="AH388" s="259"/>
      <c r="AI388" s="259"/>
      <c r="AJ388" s="265">
        <v>-36.200000000000003</v>
      </c>
      <c r="AK388" s="266"/>
      <c r="AL388" s="266">
        <v>30.25</v>
      </c>
      <c r="AM388" s="266"/>
      <c r="AN388" s="266"/>
      <c r="AO388" s="267"/>
      <c r="AP388" s="266"/>
      <c r="AQ388" s="266"/>
      <c r="AR388" s="266"/>
      <c r="AS388" s="266"/>
      <c r="AT388" s="266"/>
      <c r="AU388" s="267"/>
    </row>
    <row r="389" spans="1:47" ht="18" customHeight="1" x14ac:dyDescent="0.35">
      <c r="A389" s="274">
        <f>MATCH(B389,STUDIES!$A$3:$A$502,0)</f>
        <v>34</v>
      </c>
      <c r="B389" s="272" t="s">
        <v>709</v>
      </c>
      <c r="D389" s="281" t="s">
        <v>148</v>
      </c>
      <c r="E389" s="272" t="s">
        <v>1163</v>
      </c>
      <c r="F389" s="155" t="str">
        <f>_xlfn.XLOOKUP(B389,STUDIES!$A$3:$A$1063,STUDIES!$G$3:$G$1063,"Not Found!")</f>
        <v>A</v>
      </c>
      <c r="G389" s="273" t="s">
        <v>152</v>
      </c>
      <c r="H389" s="273">
        <v>24</v>
      </c>
      <c r="I389" s="273">
        <v>56</v>
      </c>
      <c r="J389" s="274">
        <v>1</v>
      </c>
      <c r="Q389" s="275"/>
      <c r="R389" s="276"/>
    </row>
    <row r="390" spans="1:47" ht="18" customHeight="1" x14ac:dyDescent="0.35">
      <c r="A390" s="274">
        <f>MATCH(B390,STUDIES!$A$3:$A$502,0)</f>
        <v>34</v>
      </c>
      <c r="B390" s="272" t="s">
        <v>709</v>
      </c>
      <c r="D390" s="281" t="s">
        <v>148</v>
      </c>
      <c r="E390" s="272" t="s">
        <v>1167</v>
      </c>
      <c r="F390" s="155" t="str">
        <f>_xlfn.XLOOKUP(B390,STUDIES!$A$3:$A$1063,STUDIES!$G$3:$G$1063,"Not Found!")</f>
        <v>A</v>
      </c>
      <c r="G390" s="273" t="s">
        <v>152</v>
      </c>
      <c r="H390" s="273">
        <v>24</v>
      </c>
      <c r="I390" s="273">
        <v>56</v>
      </c>
      <c r="J390" s="274">
        <v>0</v>
      </c>
      <c r="Q390" s="275"/>
      <c r="R390" s="276"/>
    </row>
    <row r="391" spans="1:47" ht="18" customHeight="1" x14ac:dyDescent="0.35">
      <c r="A391" s="274">
        <f>MATCH(B391,STUDIES!$A$3:$A$502,0)</f>
        <v>35</v>
      </c>
      <c r="B391" s="272" t="s">
        <v>855</v>
      </c>
      <c r="D391" s="317" t="s">
        <v>148</v>
      </c>
      <c r="E391" s="272" t="s">
        <v>154</v>
      </c>
      <c r="F391" s="155" t="str">
        <f>_xlfn.XLOOKUP(B391,STUDIES!$A$3:$A$1063,STUDIES!$G$3:$G$1063,"Not Found!")</f>
        <v>A</v>
      </c>
      <c r="G391" s="273" t="s">
        <v>147</v>
      </c>
      <c r="H391" s="273">
        <v>16</v>
      </c>
      <c r="I391" s="273">
        <v>126</v>
      </c>
      <c r="Q391" s="275" t="s">
        <v>90</v>
      </c>
      <c r="R391" s="313">
        <v>-8.8000000000000007</v>
      </c>
      <c r="S391" s="294">
        <v>0.56000000000000005</v>
      </c>
    </row>
    <row r="392" spans="1:47" ht="18" customHeight="1" x14ac:dyDescent="0.35">
      <c r="A392" s="274">
        <f>MATCH(B392,STUDIES!$A$3:$A$502,0)</f>
        <v>35</v>
      </c>
      <c r="B392" s="272" t="s">
        <v>855</v>
      </c>
      <c r="D392" s="317" t="s">
        <v>148</v>
      </c>
      <c r="E392" s="272" t="s">
        <v>151</v>
      </c>
      <c r="F392" s="155" t="str">
        <f>_xlfn.XLOOKUP(B392,STUDIES!$A$3:$A$1063,STUDIES!$G$3:$G$1063,"Not Found!")</f>
        <v>A</v>
      </c>
      <c r="G392" s="273" t="s">
        <v>147</v>
      </c>
      <c r="H392" s="273">
        <v>16</v>
      </c>
      <c r="I392" s="273">
        <v>108</v>
      </c>
      <c r="Q392" s="275" t="s">
        <v>90</v>
      </c>
      <c r="R392" s="276">
        <v>-15.6</v>
      </c>
      <c r="S392" s="268">
        <v>0.96</v>
      </c>
    </row>
    <row r="393" spans="1:47" ht="18" customHeight="1" x14ac:dyDescent="0.35">
      <c r="A393" s="274">
        <f>MATCH(B393,STUDIES!$A$3:$A$502,0)</f>
        <v>35</v>
      </c>
      <c r="B393" s="272" t="s">
        <v>855</v>
      </c>
      <c r="D393" s="317" t="s">
        <v>148</v>
      </c>
      <c r="E393" s="272" t="s">
        <v>153</v>
      </c>
      <c r="F393" s="155" t="str">
        <f>_xlfn.XLOOKUP(B393,STUDIES!$A$3:$A$1063,STUDIES!$G$3:$G$1063,"Not Found!")</f>
        <v>A</v>
      </c>
      <c r="G393" s="273" t="s">
        <v>147</v>
      </c>
      <c r="H393" s="273">
        <v>16</v>
      </c>
      <c r="I393" s="273">
        <v>103</v>
      </c>
      <c r="Q393" s="282" t="s">
        <v>90</v>
      </c>
      <c r="R393" s="276">
        <v>-7.8</v>
      </c>
      <c r="S393" s="268">
        <v>0.66</v>
      </c>
    </row>
    <row r="394" spans="1:47" ht="18" customHeight="1" x14ac:dyDescent="0.35">
      <c r="A394" s="274">
        <f>MATCH(B394,STUDIES!$A$3:$A$502,0)</f>
        <v>35</v>
      </c>
      <c r="B394" s="272" t="s">
        <v>855</v>
      </c>
      <c r="D394" s="317" t="s">
        <v>148</v>
      </c>
      <c r="E394" s="272" t="s">
        <v>695</v>
      </c>
      <c r="F394" s="155" t="str">
        <f>_xlfn.XLOOKUP(B394,STUDIES!$A$3:$A$1063,STUDIES!$G$3:$G$1063,"Not Found!")</f>
        <v>A</v>
      </c>
      <c r="G394" s="273" t="s">
        <v>147</v>
      </c>
      <c r="H394" s="273">
        <v>16</v>
      </c>
      <c r="I394" s="273">
        <v>100</v>
      </c>
      <c r="Q394" s="282" t="s">
        <v>90</v>
      </c>
      <c r="R394" s="276">
        <v>-2.9</v>
      </c>
      <c r="S394" s="268">
        <v>0.21</v>
      </c>
    </row>
    <row r="395" spans="1:47" ht="18" customHeight="1" x14ac:dyDescent="0.35">
      <c r="A395" s="274">
        <f>MATCH(B395,STUDIES!$A$3:$A$502,0)</f>
        <v>35</v>
      </c>
      <c r="B395" s="272" t="s">
        <v>855</v>
      </c>
      <c r="D395" s="317" t="s">
        <v>1096</v>
      </c>
      <c r="E395" s="272" t="s">
        <v>154</v>
      </c>
      <c r="F395" s="155" t="str">
        <f>_xlfn.XLOOKUP(B395,STUDIES!$A$3:$A$1063,STUDIES!$G$3:$G$1063,"Not Found!")</f>
        <v>A</v>
      </c>
      <c r="G395" s="273" t="s">
        <v>147</v>
      </c>
      <c r="H395" s="273">
        <v>16</v>
      </c>
      <c r="I395" s="273">
        <v>252</v>
      </c>
      <c r="Q395" s="282" t="s">
        <v>90</v>
      </c>
      <c r="R395" s="313">
        <v>-11.7</v>
      </c>
      <c r="S395" s="294">
        <v>0.39</v>
      </c>
    </row>
    <row r="396" spans="1:47" ht="18" customHeight="1" x14ac:dyDescent="0.35">
      <c r="A396" s="274">
        <f>MATCH(B396,STUDIES!$A$3:$A$502,0)</f>
        <v>35</v>
      </c>
      <c r="B396" s="272" t="s">
        <v>855</v>
      </c>
      <c r="D396" s="317" t="s">
        <v>1096</v>
      </c>
      <c r="E396" s="272" t="s">
        <v>151</v>
      </c>
      <c r="F396" s="155" t="str">
        <f>_xlfn.XLOOKUP(B396,STUDIES!$A$3:$A$1063,STUDIES!$G$3:$G$1063,"Not Found!")</f>
        <v>A</v>
      </c>
      <c r="G396" s="273" t="s">
        <v>147</v>
      </c>
      <c r="H396" s="273">
        <v>16</v>
      </c>
      <c r="I396" s="273">
        <v>229</v>
      </c>
      <c r="Q396" s="282" t="s">
        <v>90</v>
      </c>
      <c r="R396" s="283">
        <v>-21</v>
      </c>
      <c r="S396" s="268">
        <v>0.67</v>
      </c>
    </row>
    <row r="397" spans="1:47" ht="18" customHeight="1" x14ac:dyDescent="0.35">
      <c r="A397" s="274">
        <f>MATCH(B397,STUDIES!$A$3:$A$502,0)</f>
        <v>35</v>
      </c>
      <c r="B397" s="272" t="s">
        <v>855</v>
      </c>
      <c r="D397" s="317" t="s">
        <v>1096</v>
      </c>
      <c r="E397" s="272" t="s">
        <v>153</v>
      </c>
      <c r="F397" s="155" t="str">
        <f>_xlfn.XLOOKUP(B397,STUDIES!$A$3:$A$1063,STUDIES!$G$3:$G$1063,"Not Found!")</f>
        <v>A</v>
      </c>
      <c r="G397" s="273" t="s">
        <v>147</v>
      </c>
      <c r="H397" s="273">
        <v>16</v>
      </c>
      <c r="I397" s="273">
        <v>226</v>
      </c>
      <c r="Q397" s="282" t="s">
        <v>90</v>
      </c>
      <c r="R397" s="283">
        <v>-11.8</v>
      </c>
      <c r="S397" s="268">
        <v>0.46</v>
      </c>
    </row>
    <row r="398" spans="1:47" ht="18" customHeight="1" x14ac:dyDescent="0.35">
      <c r="A398" s="274">
        <f>MATCH(B398,STUDIES!$A$3:$A$502,0)</f>
        <v>35</v>
      </c>
      <c r="B398" s="272" t="s">
        <v>855</v>
      </c>
      <c r="D398" s="317" t="s">
        <v>1096</v>
      </c>
      <c r="E398" s="272" t="s">
        <v>695</v>
      </c>
      <c r="F398" s="155" t="str">
        <f>_xlfn.XLOOKUP(B398,STUDIES!$A$3:$A$1063,STUDIES!$G$3:$G$1063,"Not Found!")</f>
        <v>A</v>
      </c>
      <c r="G398" s="273" t="s">
        <v>147</v>
      </c>
      <c r="H398" s="273">
        <v>16</v>
      </c>
      <c r="I398" s="273">
        <v>221</v>
      </c>
      <c r="Q398" s="282" t="s">
        <v>90</v>
      </c>
      <c r="R398" s="283">
        <v>-4.0999999999999996</v>
      </c>
      <c r="S398" s="268">
        <v>0.15</v>
      </c>
    </row>
    <row r="399" spans="1:47" ht="18" customHeight="1" x14ac:dyDescent="0.35">
      <c r="A399" s="274">
        <f>MATCH(B399,STUDIES!$A$3:$A$502,0)</f>
        <v>35</v>
      </c>
      <c r="B399" s="272" t="s">
        <v>855</v>
      </c>
      <c r="D399" s="281" t="s">
        <v>1096</v>
      </c>
      <c r="E399" s="272" t="s">
        <v>1163</v>
      </c>
      <c r="F399" s="155" t="str">
        <f>_xlfn.XLOOKUP(B399,STUDIES!$A$3:$A$1063,STUDIES!$G$3:$G$1063,"Not Found!")</f>
        <v>A</v>
      </c>
      <c r="G399" s="273" t="s">
        <v>147</v>
      </c>
      <c r="H399" s="273">
        <v>16</v>
      </c>
      <c r="I399" s="273">
        <v>252</v>
      </c>
      <c r="J399" s="274">
        <v>2</v>
      </c>
    </row>
    <row r="400" spans="1:47" ht="18" customHeight="1" x14ac:dyDescent="0.35">
      <c r="A400" s="274">
        <f>MATCH(B400,STUDIES!$A$3:$A$502,0)</f>
        <v>35</v>
      </c>
      <c r="B400" s="272" t="s">
        <v>855</v>
      </c>
      <c r="D400" s="281" t="s">
        <v>1096</v>
      </c>
      <c r="E400" s="272" t="s">
        <v>1167</v>
      </c>
      <c r="F400" s="155" t="str">
        <f>_xlfn.XLOOKUP(B400,STUDIES!$A$3:$A$1063,STUDIES!$G$3:$G$1063,"Not Found!")</f>
        <v>A</v>
      </c>
      <c r="G400" s="273" t="s">
        <v>147</v>
      </c>
      <c r="H400" s="273">
        <v>16</v>
      </c>
      <c r="I400" s="273">
        <v>252</v>
      </c>
      <c r="J400" s="274">
        <v>6</v>
      </c>
    </row>
    <row r="401" spans="1:47" ht="18" customHeight="1" x14ac:dyDescent="0.35">
      <c r="A401" s="274">
        <f>MATCH(B401,STUDIES!$A$3:$A$502,0)</f>
        <v>35</v>
      </c>
      <c r="B401" s="272" t="s">
        <v>855</v>
      </c>
      <c r="D401" s="281" t="s">
        <v>148</v>
      </c>
      <c r="E401" s="272" t="s">
        <v>1163</v>
      </c>
      <c r="F401" s="155" t="str">
        <f>_xlfn.XLOOKUP(B401,STUDIES!$A$3:$A$1063,STUDIES!$G$3:$G$1063,"Not Found!")</f>
        <v>A</v>
      </c>
      <c r="G401" s="273" t="s">
        <v>147</v>
      </c>
      <c r="H401" s="273">
        <v>16</v>
      </c>
      <c r="I401" s="273">
        <v>126</v>
      </c>
      <c r="J401" s="274">
        <v>4</v>
      </c>
    </row>
    <row r="402" spans="1:47" ht="18" customHeight="1" x14ac:dyDescent="0.35">
      <c r="A402" s="274">
        <f>MATCH(B402,STUDIES!$A$3:$A$502,0)</f>
        <v>35</v>
      </c>
      <c r="B402" s="272" t="s">
        <v>855</v>
      </c>
      <c r="D402" s="281" t="s">
        <v>148</v>
      </c>
      <c r="E402" s="272" t="s">
        <v>1167</v>
      </c>
      <c r="F402" s="155" t="str">
        <f>_xlfn.XLOOKUP(B402,STUDIES!$A$3:$A$1063,STUDIES!$G$3:$G$1063,"Not Found!")</f>
        <v>A</v>
      </c>
      <c r="G402" s="273" t="s">
        <v>147</v>
      </c>
      <c r="H402" s="273">
        <v>16</v>
      </c>
      <c r="I402" s="273">
        <v>126</v>
      </c>
      <c r="J402" s="274">
        <v>1</v>
      </c>
    </row>
    <row r="403" spans="1:47" ht="18" customHeight="1" x14ac:dyDescent="0.35">
      <c r="A403" s="274">
        <f>MATCH(B403,STUDIES!$A$3:$A$502,0)</f>
        <v>36</v>
      </c>
      <c r="B403" s="321" t="s">
        <v>764</v>
      </c>
      <c r="C403" s="462"/>
      <c r="D403" s="316" t="s">
        <v>1042</v>
      </c>
      <c r="E403" s="272" t="s">
        <v>154</v>
      </c>
      <c r="F403" s="155" t="str">
        <f>_xlfn.XLOOKUP(B403,STUDIES!$A$3:$A$1063,STUDIES!$G$3:$G$1063,"Not Found!")</f>
        <v>A</v>
      </c>
      <c r="G403" s="273" t="s">
        <v>147</v>
      </c>
      <c r="H403" s="273">
        <v>16</v>
      </c>
      <c r="I403" s="273">
        <v>52</v>
      </c>
      <c r="K403" s="268">
        <v>13</v>
      </c>
      <c r="M403" s="268">
        <v>6.8</v>
      </c>
      <c r="Q403" s="282" t="s">
        <v>90</v>
      </c>
      <c r="R403" s="283">
        <v>-4.6399999999999997</v>
      </c>
      <c r="S403" s="268">
        <v>0.7</v>
      </c>
    </row>
    <row r="404" spans="1:47" ht="18" customHeight="1" x14ac:dyDescent="0.35">
      <c r="A404" s="274">
        <f>MATCH(B404,STUDIES!$A$3:$A$502,0)</f>
        <v>36</v>
      </c>
      <c r="B404" s="321" t="s">
        <v>764</v>
      </c>
      <c r="C404" s="462"/>
      <c r="D404" s="316" t="s">
        <v>1042</v>
      </c>
      <c r="E404" s="272" t="s">
        <v>151</v>
      </c>
      <c r="F404" s="155" t="str">
        <f>_xlfn.XLOOKUP(B404,STUDIES!$A$3:$A$1063,STUDIES!$G$3:$G$1063,"Not Found!")</f>
        <v>A</v>
      </c>
      <c r="G404" s="273" t="s">
        <v>147</v>
      </c>
      <c r="H404" s="273">
        <v>16</v>
      </c>
      <c r="I404" s="320">
        <v>127</v>
      </c>
      <c r="K404" s="268">
        <v>29</v>
      </c>
      <c r="M404" s="268">
        <v>11.8</v>
      </c>
      <c r="Q404" s="282" t="s">
        <v>92</v>
      </c>
      <c r="AJ404" s="276">
        <v>-48.22</v>
      </c>
      <c r="AK404" s="268">
        <v>4.5199999999999996</v>
      </c>
      <c r="AU404" s="268"/>
    </row>
    <row r="405" spans="1:47" ht="18" customHeight="1" x14ac:dyDescent="0.35">
      <c r="A405" s="274">
        <f>MATCH(B405,STUDIES!$A$3:$A$502,0)</f>
        <v>36</v>
      </c>
      <c r="B405" s="321" t="s">
        <v>764</v>
      </c>
      <c r="C405" s="462"/>
      <c r="D405" s="316" t="s">
        <v>1042</v>
      </c>
      <c r="E405" s="272" t="s">
        <v>153</v>
      </c>
      <c r="F405" s="155" t="str">
        <f>_xlfn.XLOOKUP(B405,STUDIES!$A$3:$A$1063,STUDIES!$G$3:$G$1063,"Not Found!")</f>
        <v>A</v>
      </c>
      <c r="G405" s="273" t="s">
        <v>147</v>
      </c>
      <c r="H405" s="273">
        <v>16</v>
      </c>
      <c r="I405" s="320">
        <v>53</v>
      </c>
      <c r="K405" s="268">
        <v>20</v>
      </c>
      <c r="M405" s="268">
        <v>5.6</v>
      </c>
      <c r="Q405" s="282" t="s">
        <v>90</v>
      </c>
      <c r="R405" s="283">
        <v>-5.32</v>
      </c>
      <c r="S405" s="268">
        <v>0.93</v>
      </c>
    </row>
    <row r="406" spans="1:47" ht="18" customHeight="1" x14ac:dyDescent="0.35">
      <c r="A406" s="274">
        <f>MATCH(B406,STUDIES!$A$3:$A$502,0)</f>
        <v>36</v>
      </c>
      <c r="B406" s="321" t="s">
        <v>764</v>
      </c>
      <c r="C406" s="462"/>
      <c r="D406" s="316" t="s">
        <v>1042</v>
      </c>
      <c r="E406" s="272" t="s">
        <v>695</v>
      </c>
      <c r="F406" s="155" t="str">
        <f>_xlfn.XLOOKUP(B406,STUDIES!$A$3:$A$1063,STUDIES!$G$3:$G$1063,"Not Found!")</f>
        <v>A</v>
      </c>
      <c r="G406" s="273" t="s">
        <v>147</v>
      </c>
      <c r="H406" s="273">
        <v>16</v>
      </c>
      <c r="I406" s="320">
        <v>52</v>
      </c>
      <c r="K406" s="268">
        <v>6.1</v>
      </c>
      <c r="M406" s="268">
        <v>2.1</v>
      </c>
      <c r="Q406" s="282" t="s">
        <v>92</v>
      </c>
      <c r="AJ406" s="276">
        <v>-31.3</v>
      </c>
      <c r="AK406" s="268">
        <v>5.7</v>
      </c>
    </row>
    <row r="407" spans="1:47" ht="18" customHeight="1" x14ac:dyDescent="0.35">
      <c r="A407" s="274">
        <f>MATCH(B407,STUDIES!$A$3:$A$502,0)</f>
        <v>36</v>
      </c>
      <c r="B407" s="272" t="s">
        <v>764</v>
      </c>
      <c r="D407" s="281" t="s">
        <v>1042</v>
      </c>
      <c r="E407" s="272" t="s">
        <v>1163</v>
      </c>
      <c r="F407" s="155" t="str">
        <f>_xlfn.XLOOKUP(B407,STUDIES!$A$3:$A$1063,STUDIES!$G$3:$G$1063,"Not Found!")</f>
        <v>A</v>
      </c>
      <c r="G407" s="273" t="s">
        <v>147</v>
      </c>
      <c r="H407" s="273">
        <v>16</v>
      </c>
      <c r="I407" s="320">
        <v>127</v>
      </c>
      <c r="J407" s="274">
        <v>1</v>
      </c>
    </row>
    <row r="408" spans="1:47" ht="18" customHeight="1" x14ac:dyDescent="0.35">
      <c r="A408" s="274">
        <f>MATCH(B408,STUDIES!$A$3:$A$502,0)</f>
        <v>36</v>
      </c>
      <c r="B408" s="272" t="s">
        <v>764</v>
      </c>
      <c r="D408" s="281" t="s">
        <v>1042</v>
      </c>
      <c r="E408" s="272" t="s">
        <v>1167</v>
      </c>
      <c r="F408" s="155" t="str">
        <f>_xlfn.XLOOKUP(B408,STUDIES!$A$3:$A$1063,STUDIES!$G$3:$G$1063,"Not Found!")</f>
        <v>A</v>
      </c>
      <c r="G408" s="273" t="s">
        <v>147</v>
      </c>
      <c r="H408" s="273">
        <v>16</v>
      </c>
      <c r="I408" s="320">
        <v>127</v>
      </c>
      <c r="J408" s="274">
        <v>2</v>
      </c>
    </row>
    <row r="409" spans="1:47" ht="18" customHeight="1" x14ac:dyDescent="0.35">
      <c r="A409" s="274">
        <f>MATCH(B409,STUDIES!$A$3:$A$502,0)</f>
        <v>36</v>
      </c>
      <c r="B409" s="321" t="s">
        <v>764</v>
      </c>
      <c r="C409" s="462"/>
      <c r="D409" s="316" t="s">
        <v>1043</v>
      </c>
      <c r="E409" s="272" t="s">
        <v>154</v>
      </c>
      <c r="F409" s="155" t="str">
        <f>_xlfn.XLOOKUP(B409,STUDIES!$A$3:$A$1063,STUDIES!$G$3:$G$1063,"Not Found!")</f>
        <v>A</v>
      </c>
      <c r="G409" s="273" t="s">
        <v>147</v>
      </c>
      <c r="H409" s="273">
        <v>16</v>
      </c>
      <c r="I409" s="320">
        <v>52</v>
      </c>
      <c r="K409" s="268">
        <v>13</v>
      </c>
      <c r="M409" s="268">
        <v>7.7</v>
      </c>
      <c r="Q409" s="282" t="s">
        <v>90</v>
      </c>
      <c r="R409" s="283">
        <v>-4.3</v>
      </c>
      <c r="S409" s="268">
        <v>0.68</v>
      </c>
    </row>
    <row r="410" spans="1:47" ht="18" customHeight="1" x14ac:dyDescent="0.35">
      <c r="A410" s="274">
        <f>MATCH(B410,STUDIES!$A$3:$A$502,0)</f>
        <v>36</v>
      </c>
      <c r="B410" s="321" t="s">
        <v>764</v>
      </c>
      <c r="C410" s="462"/>
      <c r="D410" s="316" t="s">
        <v>1043</v>
      </c>
      <c r="E410" s="272" t="s">
        <v>151</v>
      </c>
      <c r="F410" s="155" t="str">
        <f>_xlfn.XLOOKUP(B410,STUDIES!$A$3:$A$1063,STUDIES!$G$3:$G$1063,"Not Found!")</f>
        <v>A</v>
      </c>
      <c r="G410" s="273" t="s">
        <v>147</v>
      </c>
      <c r="H410" s="273">
        <v>16</v>
      </c>
      <c r="I410" s="320">
        <v>123</v>
      </c>
      <c r="K410" s="268">
        <v>31</v>
      </c>
      <c r="M410" s="268">
        <v>11.7</v>
      </c>
      <c r="Q410" s="282" t="s">
        <v>92</v>
      </c>
      <c r="AJ410" s="276">
        <v>-51.89</v>
      </c>
      <c r="AK410" s="268">
        <v>4.29</v>
      </c>
    </row>
    <row r="411" spans="1:47" ht="18" customHeight="1" x14ac:dyDescent="0.35">
      <c r="A411" s="274">
        <f>MATCH(B411,STUDIES!$A$3:$A$502,0)</f>
        <v>36</v>
      </c>
      <c r="B411" s="321" t="s">
        <v>764</v>
      </c>
      <c r="C411" s="462"/>
      <c r="D411" s="316" t="s">
        <v>1043</v>
      </c>
      <c r="E411" s="272" t="s">
        <v>153</v>
      </c>
      <c r="F411" s="155" t="str">
        <f>_xlfn.XLOOKUP(B411,STUDIES!$A$3:$A$1063,STUDIES!$G$3:$G$1063,"Not Found!")</f>
        <v>A</v>
      </c>
      <c r="G411" s="273" t="s">
        <v>147</v>
      </c>
      <c r="H411" s="273">
        <v>16</v>
      </c>
      <c r="I411" s="320">
        <v>52</v>
      </c>
      <c r="K411" s="268">
        <v>21</v>
      </c>
      <c r="M411" s="268">
        <v>5.6</v>
      </c>
      <c r="Q411" s="282" t="s">
        <v>90</v>
      </c>
      <c r="R411" s="283">
        <v>-6.26</v>
      </c>
      <c r="S411" s="268">
        <v>0.91</v>
      </c>
    </row>
    <row r="412" spans="1:47" ht="18" customHeight="1" x14ac:dyDescent="0.35">
      <c r="A412" s="274">
        <f>MATCH(B412,STUDIES!$A$3:$A$502,0)</f>
        <v>36</v>
      </c>
      <c r="B412" s="321" t="s">
        <v>764</v>
      </c>
      <c r="C412" s="462"/>
      <c r="D412" s="316" t="s">
        <v>1043</v>
      </c>
      <c r="E412" s="272" t="s">
        <v>695</v>
      </c>
      <c r="F412" s="155" t="str">
        <f>_xlfn.XLOOKUP(B412,STUDIES!$A$3:$A$1063,STUDIES!$G$3:$G$1063,"Not Found!")</f>
        <v>A</v>
      </c>
      <c r="G412" s="273" t="s">
        <v>147</v>
      </c>
      <c r="H412" s="273">
        <v>16</v>
      </c>
      <c r="I412" s="320">
        <v>50</v>
      </c>
      <c r="K412" s="268">
        <v>6.4</v>
      </c>
      <c r="M412" s="268">
        <v>2.2000000000000002</v>
      </c>
      <c r="Q412" s="282" t="s">
        <v>92</v>
      </c>
      <c r="AJ412" s="276">
        <v>-29.43</v>
      </c>
      <c r="AK412" s="268">
        <v>5.45</v>
      </c>
    </row>
    <row r="413" spans="1:47" ht="18" customHeight="1" x14ac:dyDescent="0.35">
      <c r="A413" s="274">
        <f>MATCH(B413,STUDIES!$A$3:$A$502,0)</f>
        <v>36</v>
      </c>
      <c r="B413" s="272" t="s">
        <v>764</v>
      </c>
      <c r="D413" s="281" t="s">
        <v>1043</v>
      </c>
      <c r="E413" s="272" t="s">
        <v>1163</v>
      </c>
      <c r="F413" s="155" t="str">
        <f>_xlfn.XLOOKUP(B413,STUDIES!$A$3:$A$1063,STUDIES!$G$3:$G$1063,"Not Found!")</f>
        <v>A</v>
      </c>
      <c r="G413" s="273" t="s">
        <v>147</v>
      </c>
      <c r="H413" s="273">
        <v>16</v>
      </c>
      <c r="I413" s="320">
        <v>123</v>
      </c>
      <c r="J413" s="274">
        <v>0</v>
      </c>
    </row>
    <row r="414" spans="1:47" ht="18" customHeight="1" x14ac:dyDescent="0.35">
      <c r="A414" s="274">
        <f>MATCH(B414,STUDIES!$A$3:$A$502,0)</f>
        <v>36</v>
      </c>
      <c r="B414" s="272" t="s">
        <v>764</v>
      </c>
      <c r="D414" s="281" t="s">
        <v>1043</v>
      </c>
      <c r="E414" s="272" t="s">
        <v>1167</v>
      </c>
      <c r="F414" s="155" t="str">
        <f>_xlfn.XLOOKUP(B414,STUDIES!$A$3:$A$1063,STUDIES!$G$3:$G$1063,"Not Found!")</f>
        <v>A</v>
      </c>
      <c r="G414" s="273" t="s">
        <v>147</v>
      </c>
      <c r="H414" s="273">
        <v>16</v>
      </c>
      <c r="I414" s="320">
        <v>123</v>
      </c>
      <c r="J414" s="274">
        <v>1</v>
      </c>
    </row>
    <row r="415" spans="1:47" ht="18" customHeight="1" x14ac:dyDescent="0.35">
      <c r="A415" s="274">
        <f>MATCH(B415,STUDIES!$A$3:$A$502,0)</f>
        <v>36</v>
      </c>
      <c r="B415" s="321" t="s">
        <v>764</v>
      </c>
      <c r="C415" s="462"/>
      <c r="D415" s="316" t="s">
        <v>1044</v>
      </c>
      <c r="E415" s="272" t="s">
        <v>154</v>
      </c>
      <c r="F415" s="155" t="str">
        <f>_xlfn.XLOOKUP(B415,STUDIES!$A$3:$A$1063,STUDIES!$G$3:$G$1063,"Not Found!")</f>
        <v>A</v>
      </c>
      <c r="G415" s="273" t="s">
        <v>147</v>
      </c>
      <c r="H415" s="273">
        <v>16</v>
      </c>
      <c r="I415" s="320">
        <v>70</v>
      </c>
      <c r="K415" s="268">
        <v>14</v>
      </c>
      <c r="M415" s="268">
        <v>7.1</v>
      </c>
      <c r="Q415" s="282" t="s">
        <v>90</v>
      </c>
      <c r="R415" s="283">
        <v>-6.76</v>
      </c>
      <c r="S415" s="268">
        <v>0.6</v>
      </c>
    </row>
    <row r="416" spans="1:47" ht="18" customHeight="1" x14ac:dyDescent="0.35">
      <c r="A416" s="274">
        <f>MATCH(B416,STUDIES!$A$3:$A$502,0)</f>
        <v>36</v>
      </c>
      <c r="B416" s="321" t="s">
        <v>764</v>
      </c>
      <c r="C416" s="462"/>
      <c r="D416" s="316" t="s">
        <v>1044</v>
      </c>
      <c r="E416" s="272" t="s">
        <v>151</v>
      </c>
      <c r="F416" s="155" t="str">
        <f>_xlfn.XLOOKUP(B416,STUDIES!$A$3:$A$1063,STUDIES!$G$3:$G$1063,"Not Found!")</f>
        <v>A</v>
      </c>
      <c r="G416" s="273" t="s">
        <v>147</v>
      </c>
      <c r="H416" s="273">
        <v>16</v>
      </c>
      <c r="I416" s="320">
        <v>125</v>
      </c>
      <c r="K416" s="268">
        <v>32</v>
      </c>
      <c r="M416" s="268">
        <v>12.7</v>
      </c>
      <c r="Q416" s="282" t="s">
        <v>92</v>
      </c>
      <c r="AJ416" s="276">
        <v>-59.36</v>
      </c>
      <c r="AK416" s="268">
        <v>3.84</v>
      </c>
    </row>
    <row r="417" spans="1:55" ht="18" customHeight="1" x14ac:dyDescent="0.35">
      <c r="A417" s="274">
        <f>MATCH(B417,STUDIES!$A$3:$A$502,0)</f>
        <v>36</v>
      </c>
      <c r="B417" s="321" t="s">
        <v>764</v>
      </c>
      <c r="C417" s="462"/>
      <c r="D417" s="316" t="s">
        <v>1044</v>
      </c>
      <c r="E417" s="272" t="s">
        <v>153</v>
      </c>
      <c r="F417" s="155" t="str">
        <f>_xlfn.XLOOKUP(B417,STUDIES!$A$3:$A$1063,STUDIES!$G$3:$G$1063,"Not Found!")</f>
        <v>A</v>
      </c>
      <c r="G417" s="273" t="s">
        <v>147</v>
      </c>
      <c r="H417" s="273">
        <v>16</v>
      </c>
      <c r="I417" s="320">
        <v>70</v>
      </c>
      <c r="K417" s="268">
        <v>21</v>
      </c>
      <c r="M417" s="268">
        <v>5.6</v>
      </c>
      <c r="Q417" s="282" t="s">
        <v>90</v>
      </c>
      <c r="R417" s="283">
        <v>-7.84</v>
      </c>
      <c r="S417" s="268">
        <v>0.8</v>
      </c>
    </row>
    <row r="418" spans="1:55" ht="18" customHeight="1" x14ac:dyDescent="0.35">
      <c r="A418" s="274">
        <f>MATCH(B418,STUDIES!$A$3:$A$502,0)</f>
        <v>36</v>
      </c>
      <c r="B418" s="321" t="s">
        <v>764</v>
      </c>
      <c r="C418" s="462"/>
      <c r="D418" s="316" t="s">
        <v>1044</v>
      </c>
      <c r="E418" s="272" t="s">
        <v>695</v>
      </c>
      <c r="F418" s="155" t="str">
        <f>_xlfn.XLOOKUP(B418,STUDIES!$A$3:$A$1063,STUDIES!$G$3:$G$1063,"Not Found!")</f>
        <v>A</v>
      </c>
      <c r="G418" s="273" t="s">
        <v>147</v>
      </c>
      <c r="H418" s="273">
        <v>16</v>
      </c>
      <c r="I418" s="320">
        <v>68</v>
      </c>
      <c r="K418" s="268">
        <v>6.5</v>
      </c>
      <c r="M418" s="268">
        <v>2</v>
      </c>
      <c r="Q418" s="282" t="s">
        <v>92</v>
      </c>
      <c r="AJ418" s="276">
        <v>-36.549999999999997</v>
      </c>
      <c r="AK418" s="268">
        <v>4.88</v>
      </c>
    </row>
    <row r="419" spans="1:55" ht="18" customHeight="1" x14ac:dyDescent="0.35">
      <c r="A419" s="274">
        <f>MATCH(B419,STUDIES!$A$3:$A$502,0)</f>
        <v>36</v>
      </c>
      <c r="B419" s="272" t="s">
        <v>764</v>
      </c>
      <c r="D419" s="281" t="s">
        <v>1044</v>
      </c>
      <c r="E419" s="272" t="s">
        <v>1163</v>
      </c>
      <c r="F419" s="155" t="str">
        <f>_xlfn.XLOOKUP(B419,STUDIES!$A$3:$A$1063,STUDIES!$G$3:$G$1063,"Not Found!")</f>
        <v>A</v>
      </c>
      <c r="G419" s="273" t="s">
        <v>147</v>
      </c>
      <c r="H419" s="273">
        <v>16</v>
      </c>
      <c r="I419" s="320">
        <v>125</v>
      </c>
      <c r="J419" s="274">
        <v>2</v>
      </c>
    </row>
    <row r="420" spans="1:55" ht="18" customHeight="1" x14ac:dyDescent="0.35">
      <c r="A420" s="274">
        <f>MATCH(B420,STUDIES!$A$3:$A$502,0)</f>
        <v>36</v>
      </c>
      <c r="B420" s="272" t="s">
        <v>764</v>
      </c>
      <c r="D420" s="281" t="s">
        <v>1044</v>
      </c>
      <c r="E420" s="272" t="s">
        <v>1167</v>
      </c>
      <c r="F420" s="155" t="str">
        <f>_xlfn.XLOOKUP(B420,STUDIES!$A$3:$A$1063,STUDIES!$G$3:$G$1063,"Not Found!")</f>
        <v>A</v>
      </c>
      <c r="G420" s="273" t="s">
        <v>147</v>
      </c>
      <c r="H420" s="273">
        <v>16</v>
      </c>
      <c r="I420" s="320">
        <v>125</v>
      </c>
      <c r="J420" s="274">
        <v>1</v>
      </c>
    </row>
    <row r="421" spans="1:55" ht="18" customHeight="1" x14ac:dyDescent="0.35">
      <c r="A421" s="274">
        <f>MATCH(B421,STUDIES!$A$3:$A$502,0)</f>
        <v>36</v>
      </c>
      <c r="B421" s="321" t="s">
        <v>764</v>
      </c>
      <c r="C421" s="462"/>
      <c r="D421" s="316" t="s">
        <v>148</v>
      </c>
      <c r="E421" s="272" t="s">
        <v>154</v>
      </c>
      <c r="F421" s="155" t="str">
        <f>_xlfn.XLOOKUP(B421,STUDIES!$A$3:$A$1063,STUDIES!$G$3:$G$1063,"Not Found!")</f>
        <v>A</v>
      </c>
      <c r="G421" s="273" t="s">
        <v>147</v>
      </c>
      <c r="H421" s="273">
        <v>16</v>
      </c>
      <c r="I421" s="320">
        <v>71</v>
      </c>
      <c r="K421" s="268">
        <v>14</v>
      </c>
      <c r="M421" s="268">
        <v>7.4</v>
      </c>
      <c r="Q421" s="282" t="s">
        <v>90</v>
      </c>
      <c r="R421" s="283">
        <v>-2.46</v>
      </c>
      <c r="S421" s="268">
        <v>0.56999999999999995</v>
      </c>
    </row>
    <row r="422" spans="1:55" ht="18" customHeight="1" x14ac:dyDescent="0.35">
      <c r="A422" s="274">
        <f>MATCH(B422,STUDIES!$A$3:$A$502,0)</f>
        <v>36</v>
      </c>
      <c r="B422" s="321" t="s">
        <v>764</v>
      </c>
      <c r="C422" s="462"/>
      <c r="D422" s="316" t="s">
        <v>148</v>
      </c>
      <c r="E422" s="272" t="s">
        <v>151</v>
      </c>
      <c r="F422" s="155" t="str">
        <f>_xlfn.XLOOKUP(B422,STUDIES!$A$3:$A$1063,STUDIES!$G$3:$G$1063,"Not Found!")</f>
        <v>A</v>
      </c>
      <c r="G422" s="273" t="s">
        <v>147</v>
      </c>
      <c r="H422" s="273">
        <v>16</v>
      </c>
      <c r="I422" s="320">
        <v>249</v>
      </c>
      <c r="K422" s="268">
        <v>32</v>
      </c>
      <c r="M422" s="268">
        <v>13</v>
      </c>
      <c r="Q422" s="282" t="s">
        <v>92</v>
      </c>
      <c r="AJ422" s="276">
        <v>-34.82</v>
      </c>
      <c r="AK422" s="268">
        <v>3.64</v>
      </c>
    </row>
    <row r="423" spans="1:55" s="322" customFormat="1" ht="18" customHeight="1" x14ac:dyDescent="0.35">
      <c r="A423" s="274">
        <f>MATCH(B423,STUDIES!$A$3:$A$502,0)</f>
        <v>36</v>
      </c>
      <c r="B423" s="376" t="s">
        <v>764</v>
      </c>
      <c r="C423" s="463"/>
      <c r="D423" s="377" t="s">
        <v>148</v>
      </c>
      <c r="E423" s="346" t="s">
        <v>153</v>
      </c>
      <c r="F423" s="155" t="str">
        <f>_xlfn.XLOOKUP(B423,STUDIES!$A$3:$A$1063,STUDIES!$G$3:$G$1063,"Not Found!")</f>
        <v>A</v>
      </c>
      <c r="G423" s="347" t="s">
        <v>147</v>
      </c>
      <c r="H423" s="347">
        <v>16</v>
      </c>
      <c r="I423" s="348">
        <v>72</v>
      </c>
      <c r="J423" s="349"/>
      <c r="K423" s="322">
        <v>21</v>
      </c>
      <c r="M423" s="322">
        <v>4.5</v>
      </c>
      <c r="Q423" s="350" t="s">
        <v>90</v>
      </c>
      <c r="R423" s="351">
        <v>-2.68</v>
      </c>
      <c r="S423" s="322">
        <v>0.76</v>
      </c>
      <c r="X423" s="351"/>
      <c r="AD423" s="351"/>
      <c r="AJ423" s="351"/>
      <c r="AO423" s="350"/>
      <c r="AU423" s="350"/>
    </row>
    <row r="424" spans="1:55" ht="18" customHeight="1" x14ac:dyDescent="0.35">
      <c r="A424" s="274">
        <f>MATCH(B424,STUDIES!$A$3:$A$502,0)</f>
        <v>36</v>
      </c>
      <c r="B424" s="321" t="s">
        <v>764</v>
      </c>
      <c r="C424" s="462"/>
      <c r="D424" s="316" t="s">
        <v>148</v>
      </c>
      <c r="E424" s="272" t="s">
        <v>695</v>
      </c>
      <c r="F424" s="155" t="str">
        <f>_xlfn.XLOOKUP(B424,STUDIES!$A$3:$A$1063,STUDIES!$G$3:$G$1063,"Not Found!")</f>
        <v>A</v>
      </c>
      <c r="G424" s="273" t="s">
        <v>147</v>
      </c>
      <c r="H424" s="273">
        <v>16</v>
      </c>
      <c r="I424" s="320">
        <v>68</v>
      </c>
      <c r="K424" s="268">
        <v>6.7</v>
      </c>
      <c r="M424" s="268">
        <v>2</v>
      </c>
      <c r="Q424" s="282" t="s">
        <v>92</v>
      </c>
      <c r="AJ424" s="276">
        <v>-12.04</v>
      </c>
      <c r="AK424" s="268">
        <v>4.6500000000000004</v>
      </c>
    </row>
    <row r="425" spans="1:55" ht="18" customHeight="1" x14ac:dyDescent="0.35">
      <c r="A425" s="274">
        <f>MATCH(B425,STUDIES!$A$3:$A$502,0)</f>
        <v>36</v>
      </c>
      <c r="B425" s="272" t="s">
        <v>764</v>
      </c>
      <c r="D425" s="281" t="s">
        <v>148</v>
      </c>
      <c r="E425" s="272" t="s">
        <v>1163</v>
      </c>
      <c r="F425" s="155" t="str">
        <f>_xlfn.XLOOKUP(B425,STUDIES!$A$3:$A$1063,STUDIES!$G$3:$G$1063,"Not Found!")</f>
        <v>A</v>
      </c>
      <c r="G425" s="273" t="s">
        <v>147</v>
      </c>
      <c r="H425" s="273">
        <v>16</v>
      </c>
      <c r="I425" s="320">
        <v>249</v>
      </c>
      <c r="J425" s="274">
        <v>6</v>
      </c>
    </row>
    <row r="426" spans="1:55" ht="18" customHeight="1" x14ac:dyDescent="0.35">
      <c r="A426" s="274">
        <f>MATCH(B426,STUDIES!$A$3:$A$502,0)</f>
        <v>36</v>
      </c>
      <c r="B426" s="272" t="s">
        <v>764</v>
      </c>
      <c r="D426" s="281" t="s">
        <v>148</v>
      </c>
      <c r="E426" s="272" t="s">
        <v>1167</v>
      </c>
      <c r="F426" s="155" t="str">
        <f>_xlfn.XLOOKUP(B426,STUDIES!$A$3:$A$1063,STUDIES!$G$3:$G$1063,"Not Found!")</f>
        <v>A</v>
      </c>
      <c r="G426" s="273" t="s">
        <v>147</v>
      </c>
      <c r="H426" s="273">
        <v>16</v>
      </c>
      <c r="I426" s="320">
        <v>249</v>
      </c>
      <c r="J426" s="274">
        <v>4</v>
      </c>
    </row>
    <row r="427" spans="1:55" ht="18" customHeight="1" x14ac:dyDescent="0.35">
      <c r="A427" s="274">
        <f>MATCH(B427,STUDIES!$A$3:$A$502,0)</f>
        <v>37</v>
      </c>
      <c r="B427" s="321" t="s">
        <v>774</v>
      </c>
      <c r="C427" s="462"/>
      <c r="D427" s="316" t="s">
        <v>1042</v>
      </c>
      <c r="E427" s="272" t="s">
        <v>154</v>
      </c>
      <c r="F427" s="155" t="str">
        <f>_xlfn.XLOOKUP(B427,STUDIES!$A$3:$A$1063,STUDIES!$G$3:$G$1063,"Not Found!")</f>
        <v>A</v>
      </c>
      <c r="G427" s="273" t="s">
        <v>147</v>
      </c>
      <c r="H427" s="273">
        <v>16</v>
      </c>
      <c r="I427" s="320">
        <v>34</v>
      </c>
      <c r="K427" s="268">
        <v>15</v>
      </c>
      <c r="M427" s="268">
        <v>8.1</v>
      </c>
      <c r="Q427" s="282" t="s">
        <v>90</v>
      </c>
      <c r="R427" s="283">
        <v>-5.1100000000000003</v>
      </c>
      <c r="S427" s="268">
        <v>0.76</v>
      </c>
    </row>
    <row r="428" spans="1:55" ht="18" customHeight="1" x14ac:dyDescent="0.35">
      <c r="A428" s="274">
        <f>MATCH(B428,STUDIES!$A$3:$A$502,0)</f>
        <v>37</v>
      </c>
      <c r="B428" s="321" t="s">
        <v>774</v>
      </c>
      <c r="C428" s="462"/>
      <c r="D428" s="316" t="s">
        <v>1042</v>
      </c>
      <c r="E428" s="272" t="s">
        <v>151</v>
      </c>
      <c r="F428" s="155" t="str">
        <f>_xlfn.XLOOKUP(B428,STUDIES!$A$3:$A$1063,STUDIES!$G$3:$G$1063,"Not Found!")</f>
        <v>A</v>
      </c>
      <c r="G428" s="273" t="s">
        <v>147</v>
      </c>
      <c r="H428" s="273">
        <v>16</v>
      </c>
      <c r="I428" s="320">
        <v>125</v>
      </c>
      <c r="K428" s="268">
        <v>33</v>
      </c>
      <c r="M428" s="268">
        <v>12.7</v>
      </c>
      <c r="Q428" s="282" t="s">
        <v>92</v>
      </c>
      <c r="AJ428" s="276">
        <v>-41.68</v>
      </c>
      <c r="AK428" s="268">
        <v>5.33</v>
      </c>
    </row>
    <row r="429" spans="1:55" ht="18" customHeight="1" x14ac:dyDescent="0.35">
      <c r="A429" s="274">
        <f>MATCH(B429,STUDIES!$A$3:$A$502,0)</f>
        <v>37</v>
      </c>
      <c r="B429" s="321" t="s">
        <v>774</v>
      </c>
      <c r="C429" s="462"/>
      <c r="D429" s="316" t="s">
        <v>1042</v>
      </c>
      <c r="E429" s="272" t="s">
        <v>153</v>
      </c>
      <c r="F429" s="155" t="str">
        <f>_xlfn.XLOOKUP(B429,STUDIES!$A$3:$A$1063,STUDIES!$G$3:$G$1063,"Not Found!")</f>
        <v>A</v>
      </c>
      <c r="G429" s="273" t="s">
        <v>147</v>
      </c>
      <c r="H429" s="273">
        <v>16</v>
      </c>
      <c r="I429" s="320">
        <v>34</v>
      </c>
      <c r="K429" s="268">
        <v>20</v>
      </c>
      <c r="M429" s="268">
        <v>6.5</v>
      </c>
      <c r="Q429" s="282" t="s">
        <v>90</v>
      </c>
      <c r="R429" s="283">
        <v>-3.85</v>
      </c>
      <c r="S429" s="268">
        <v>1.04</v>
      </c>
    </row>
    <row r="430" spans="1:55" ht="18" customHeight="1" x14ac:dyDescent="0.35">
      <c r="A430" s="274">
        <f>MATCH(B430,STUDIES!$A$3:$A$502,0)</f>
        <v>37</v>
      </c>
      <c r="B430" s="321" t="s">
        <v>774</v>
      </c>
      <c r="C430" s="462"/>
      <c r="D430" s="316" t="s">
        <v>1042</v>
      </c>
      <c r="E430" s="272" t="s">
        <v>695</v>
      </c>
      <c r="F430" s="155" t="str">
        <f>_xlfn.XLOOKUP(B430,STUDIES!$A$3:$A$1063,STUDIES!$G$3:$G$1063,"Not Found!")</f>
        <v>A</v>
      </c>
      <c r="G430" s="273" t="s">
        <v>147</v>
      </c>
      <c r="H430" s="273">
        <v>16</v>
      </c>
      <c r="I430" s="320">
        <v>31</v>
      </c>
      <c r="K430" s="268">
        <v>6.4</v>
      </c>
      <c r="M430" s="268">
        <v>2.2000000000000002</v>
      </c>
      <c r="Q430" s="282" t="s">
        <v>92</v>
      </c>
      <c r="AJ430" s="276">
        <v>-31.39</v>
      </c>
      <c r="AK430" s="268">
        <v>6.61</v>
      </c>
    </row>
    <row r="431" spans="1:55" ht="18" customHeight="1" x14ac:dyDescent="0.35">
      <c r="A431" s="274">
        <f>MATCH(B431,STUDIES!$A$3:$A$502,0)</f>
        <v>37</v>
      </c>
      <c r="B431" s="272" t="s">
        <v>774</v>
      </c>
      <c r="D431" s="281" t="s">
        <v>1042</v>
      </c>
      <c r="E431" s="272" t="s">
        <v>1163</v>
      </c>
      <c r="F431" s="155" t="str">
        <f>_xlfn.XLOOKUP(B431,STUDIES!$A$3:$A$1063,STUDIES!$G$3:$G$1063,"Not Found!")</f>
        <v>A</v>
      </c>
      <c r="G431" s="273" t="s">
        <v>147</v>
      </c>
      <c r="H431" s="273">
        <v>16</v>
      </c>
      <c r="I431" s="320">
        <v>124</v>
      </c>
      <c r="J431" s="274">
        <v>9</v>
      </c>
    </row>
    <row r="432" spans="1:55" s="323" customFormat="1" ht="18" customHeight="1" x14ac:dyDescent="0.35">
      <c r="A432" s="274">
        <f>MATCH(B432,STUDIES!$A$3:$A$502,0)</f>
        <v>37</v>
      </c>
      <c r="B432" s="272" t="s">
        <v>774</v>
      </c>
      <c r="C432" s="435"/>
      <c r="D432" s="281" t="s">
        <v>1042</v>
      </c>
      <c r="E432" s="272" t="s">
        <v>1167</v>
      </c>
      <c r="F432" s="155" t="str">
        <f>_xlfn.XLOOKUP(B432,STUDIES!$A$3:$A$1063,STUDIES!$G$3:$G$1063,"Not Found!")</f>
        <v>A</v>
      </c>
      <c r="G432" s="273" t="s">
        <v>147</v>
      </c>
      <c r="H432" s="273">
        <v>16</v>
      </c>
      <c r="I432" s="273">
        <v>124</v>
      </c>
      <c r="J432" s="274">
        <v>7</v>
      </c>
      <c r="K432" s="268"/>
      <c r="L432" s="268"/>
      <c r="M432" s="268"/>
      <c r="N432" s="268"/>
      <c r="O432" s="268"/>
      <c r="P432" s="268"/>
      <c r="Q432" s="275"/>
      <c r="R432" s="276"/>
      <c r="S432" s="268"/>
      <c r="T432" s="268"/>
      <c r="U432" s="268"/>
      <c r="V432" s="268"/>
      <c r="W432" s="268"/>
      <c r="X432" s="276"/>
      <c r="Y432" s="268"/>
      <c r="Z432" s="268"/>
      <c r="AA432" s="268"/>
      <c r="AB432" s="268"/>
      <c r="AC432" s="268"/>
      <c r="AD432" s="276"/>
      <c r="AE432" s="268"/>
      <c r="AF432" s="268"/>
      <c r="AG432" s="268"/>
      <c r="AH432" s="268"/>
      <c r="AI432" s="268"/>
      <c r="AJ432" s="276"/>
      <c r="AK432" s="268"/>
      <c r="AL432" s="268"/>
      <c r="AM432" s="268"/>
      <c r="AN432" s="268"/>
      <c r="AO432" s="275"/>
      <c r="AP432" s="268"/>
      <c r="AQ432" s="268"/>
      <c r="AR432" s="268"/>
      <c r="AS432" s="268"/>
      <c r="AT432" s="268"/>
      <c r="AU432" s="268"/>
      <c r="AV432" s="268"/>
      <c r="AW432" s="268"/>
      <c r="AX432" s="268"/>
      <c r="AY432" s="268"/>
      <c r="AZ432" s="268"/>
      <c r="BA432" s="268"/>
      <c r="BB432" s="268"/>
      <c r="BC432" s="268"/>
    </row>
    <row r="433" spans="1:55" s="323" customFormat="1" ht="18" customHeight="1" x14ac:dyDescent="0.35">
      <c r="A433" s="274">
        <f>MATCH(B433,STUDIES!$A$3:$A$502,0)</f>
        <v>37</v>
      </c>
      <c r="B433" s="321" t="s">
        <v>774</v>
      </c>
      <c r="C433" s="462"/>
      <c r="D433" s="316" t="s">
        <v>1043</v>
      </c>
      <c r="E433" s="272" t="s">
        <v>154</v>
      </c>
      <c r="F433" s="155" t="str">
        <f>_xlfn.XLOOKUP(B433,STUDIES!$A$3:$A$1063,STUDIES!$G$3:$G$1063,"Not Found!")</f>
        <v>A</v>
      </c>
      <c r="G433" s="273" t="s">
        <v>147</v>
      </c>
      <c r="H433" s="273">
        <v>16</v>
      </c>
      <c r="I433" s="273">
        <v>40</v>
      </c>
      <c r="J433" s="274"/>
      <c r="K433" s="268">
        <v>14</v>
      </c>
      <c r="L433" s="268"/>
      <c r="M433" s="268">
        <v>7.7</v>
      </c>
      <c r="N433" s="268"/>
      <c r="O433" s="268"/>
      <c r="P433" s="268"/>
      <c r="Q433" s="275" t="s">
        <v>90</v>
      </c>
      <c r="R433" s="276">
        <v>-7.44</v>
      </c>
      <c r="S433" s="268">
        <v>0.71</v>
      </c>
      <c r="T433" s="268"/>
      <c r="U433" s="268"/>
      <c r="V433" s="268"/>
      <c r="W433" s="268"/>
      <c r="X433" s="276"/>
      <c r="Y433" s="268"/>
      <c r="Z433" s="268"/>
      <c r="AA433" s="268"/>
      <c r="AB433" s="268"/>
      <c r="AC433" s="268"/>
      <c r="AD433" s="276"/>
      <c r="AE433" s="268"/>
      <c r="AF433" s="268"/>
      <c r="AG433" s="268"/>
      <c r="AH433" s="268"/>
      <c r="AI433" s="268"/>
      <c r="AJ433" s="276"/>
      <c r="AK433" s="268"/>
      <c r="AL433" s="268"/>
      <c r="AM433" s="268"/>
      <c r="AN433" s="268"/>
      <c r="AO433" s="275"/>
      <c r="AP433" s="268"/>
      <c r="AQ433" s="268"/>
      <c r="AR433" s="268"/>
      <c r="AS433" s="268"/>
      <c r="AT433" s="268"/>
      <c r="AU433" s="268"/>
      <c r="AV433" s="268"/>
      <c r="AW433" s="268"/>
      <c r="AX433" s="268"/>
      <c r="AY433" s="268"/>
      <c r="AZ433" s="268"/>
      <c r="BA433" s="268"/>
      <c r="BB433" s="268"/>
      <c r="BC433" s="268"/>
    </row>
    <row r="434" spans="1:55" s="323" customFormat="1" ht="18" customHeight="1" x14ac:dyDescent="0.35">
      <c r="A434" s="274">
        <f>MATCH(B434,STUDIES!$A$3:$A$502,0)</f>
        <v>37</v>
      </c>
      <c r="B434" s="321" t="s">
        <v>774</v>
      </c>
      <c r="C434" s="462"/>
      <c r="D434" s="316" t="s">
        <v>1043</v>
      </c>
      <c r="E434" s="272" t="s">
        <v>151</v>
      </c>
      <c r="F434" s="155" t="str">
        <f>_xlfn.XLOOKUP(B434,STUDIES!$A$3:$A$1063,STUDIES!$G$3:$G$1063,"Not Found!")</f>
        <v>A</v>
      </c>
      <c r="G434" s="273" t="s">
        <v>147</v>
      </c>
      <c r="H434" s="273">
        <v>16</v>
      </c>
      <c r="I434" s="273">
        <v>123</v>
      </c>
      <c r="J434" s="274"/>
      <c r="K434" s="268">
        <v>35</v>
      </c>
      <c r="L434" s="268"/>
      <c r="M434" s="268">
        <v>16</v>
      </c>
      <c r="N434" s="268"/>
      <c r="O434" s="268"/>
      <c r="P434" s="268"/>
      <c r="Q434" s="275" t="s">
        <v>92</v>
      </c>
      <c r="R434" s="276"/>
      <c r="S434" s="268"/>
      <c r="T434" s="268"/>
      <c r="U434" s="268"/>
      <c r="V434" s="268"/>
      <c r="W434" s="268"/>
      <c r="X434" s="276"/>
      <c r="Y434" s="268"/>
      <c r="Z434" s="268"/>
      <c r="AA434" s="268"/>
      <c r="AB434" s="268"/>
      <c r="AC434" s="268"/>
      <c r="AD434" s="276"/>
      <c r="AE434" s="268"/>
      <c r="AF434" s="268"/>
      <c r="AG434" s="268"/>
      <c r="AH434" s="268"/>
      <c r="AI434" s="268"/>
      <c r="AJ434" s="276">
        <v>-54.8</v>
      </c>
      <c r="AK434" s="268">
        <v>4.99</v>
      </c>
      <c r="AL434" s="268"/>
      <c r="AM434" s="268"/>
      <c r="AN434" s="268"/>
      <c r="AO434" s="275"/>
      <c r="AP434" s="268"/>
      <c r="AQ434" s="268"/>
      <c r="AR434" s="268"/>
      <c r="AS434" s="268"/>
      <c r="AT434" s="268"/>
      <c r="AU434" s="268"/>
      <c r="AV434" s="268"/>
      <c r="AW434" s="268"/>
      <c r="AX434" s="268"/>
      <c r="AY434" s="268"/>
      <c r="AZ434" s="268"/>
      <c r="BA434" s="268"/>
      <c r="BB434" s="268"/>
      <c r="BC434" s="268"/>
    </row>
    <row r="435" spans="1:55" s="323" customFormat="1" ht="18" customHeight="1" x14ac:dyDescent="0.35">
      <c r="A435" s="274">
        <f>MATCH(B435,STUDIES!$A$3:$A$502,0)</f>
        <v>37</v>
      </c>
      <c r="B435" s="321" t="s">
        <v>774</v>
      </c>
      <c r="C435" s="462"/>
      <c r="D435" s="316" t="s">
        <v>1043</v>
      </c>
      <c r="E435" s="272" t="s">
        <v>153</v>
      </c>
      <c r="F435" s="155" t="str">
        <f>_xlfn.XLOOKUP(B435,STUDIES!$A$3:$A$1063,STUDIES!$G$3:$G$1063,"Not Found!")</f>
        <v>A</v>
      </c>
      <c r="G435" s="273" t="s">
        <v>147</v>
      </c>
      <c r="H435" s="273">
        <v>16</v>
      </c>
      <c r="I435" s="273">
        <v>40</v>
      </c>
      <c r="J435" s="274"/>
      <c r="K435" s="268">
        <v>21</v>
      </c>
      <c r="L435" s="268"/>
      <c r="M435" s="268">
        <v>6</v>
      </c>
      <c r="N435" s="268"/>
      <c r="O435" s="268"/>
      <c r="P435" s="268"/>
      <c r="Q435" s="275" t="s">
        <v>90</v>
      </c>
      <c r="R435" s="276">
        <v>-7.06</v>
      </c>
      <c r="S435" s="268">
        <v>0.96</v>
      </c>
      <c r="T435" s="268"/>
      <c r="U435" s="268"/>
      <c r="V435" s="268"/>
      <c r="W435" s="268"/>
      <c r="X435" s="276"/>
      <c r="Y435" s="268"/>
      <c r="Z435" s="268"/>
      <c r="AA435" s="268"/>
      <c r="AB435" s="268"/>
      <c r="AC435" s="268"/>
      <c r="AD435" s="276"/>
      <c r="AE435" s="268"/>
      <c r="AF435" s="268"/>
      <c r="AG435" s="268"/>
      <c r="AH435" s="268"/>
      <c r="AI435" s="268"/>
      <c r="AJ435" s="276"/>
      <c r="AK435" s="268"/>
      <c r="AL435" s="268"/>
      <c r="AM435" s="268"/>
      <c r="AN435" s="268"/>
      <c r="AO435" s="275"/>
      <c r="AP435" s="268"/>
      <c r="AQ435" s="268"/>
      <c r="AR435" s="268"/>
      <c r="AS435" s="268"/>
      <c r="AT435" s="268"/>
      <c r="AU435" s="268"/>
      <c r="AV435" s="268"/>
      <c r="AW435" s="268"/>
      <c r="AX435" s="268"/>
      <c r="AY435" s="268"/>
      <c r="AZ435" s="268"/>
      <c r="BA435" s="268"/>
      <c r="BB435" s="268"/>
      <c r="BC435" s="268"/>
    </row>
    <row r="436" spans="1:55" s="323" customFormat="1" ht="18" customHeight="1" x14ac:dyDescent="0.35">
      <c r="A436" s="274">
        <f>MATCH(B436,STUDIES!$A$3:$A$502,0)</f>
        <v>37</v>
      </c>
      <c r="B436" s="321" t="s">
        <v>774</v>
      </c>
      <c r="C436" s="462"/>
      <c r="D436" s="316" t="s">
        <v>1043</v>
      </c>
      <c r="E436" s="272" t="s">
        <v>695</v>
      </c>
      <c r="F436" s="155" t="str">
        <f>_xlfn.XLOOKUP(B436,STUDIES!$A$3:$A$1063,STUDIES!$G$3:$G$1063,"Not Found!")</f>
        <v>A</v>
      </c>
      <c r="G436" s="273" t="s">
        <v>147</v>
      </c>
      <c r="H436" s="273">
        <v>16</v>
      </c>
      <c r="I436" s="273">
        <v>38</v>
      </c>
      <c r="J436" s="274"/>
      <c r="K436" s="268">
        <v>6.6</v>
      </c>
      <c r="L436" s="268"/>
      <c r="M436" s="268">
        <v>2.2000000000000002</v>
      </c>
      <c r="N436" s="268"/>
      <c r="O436" s="268"/>
      <c r="P436" s="268"/>
      <c r="Q436" s="275" t="s">
        <v>92</v>
      </c>
      <c r="R436" s="276"/>
      <c r="S436" s="268"/>
      <c r="T436" s="268"/>
      <c r="U436" s="268"/>
      <c r="V436" s="268"/>
      <c r="W436" s="268"/>
      <c r="X436" s="276"/>
      <c r="Y436" s="268"/>
      <c r="Z436" s="268"/>
      <c r="AA436" s="268"/>
      <c r="AB436" s="268"/>
      <c r="AC436" s="268"/>
      <c r="AD436" s="276"/>
      <c r="AE436" s="268"/>
      <c r="AF436" s="268"/>
      <c r="AG436" s="268"/>
      <c r="AH436" s="268"/>
      <c r="AI436" s="268"/>
      <c r="AJ436" s="276">
        <v>-47.24</v>
      </c>
      <c r="AK436" s="268">
        <v>6.1</v>
      </c>
      <c r="AL436" s="268"/>
      <c r="AM436" s="268"/>
      <c r="AN436" s="268"/>
      <c r="AO436" s="275"/>
      <c r="AP436" s="268"/>
      <c r="AQ436" s="268"/>
      <c r="AR436" s="268"/>
      <c r="AS436" s="268"/>
      <c r="AT436" s="268"/>
      <c r="AU436" s="268"/>
      <c r="AV436" s="268"/>
      <c r="AW436" s="268"/>
      <c r="AX436" s="268"/>
      <c r="AY436" s="268"/>
      <c r="AZ436" s="268"/>
      <c r="BA436" s="268"/>
      <c r="BB436" s="268"/>
      <c r="BC436" s="268"/>
    </row>
    <row r="437" spans="1:55" s="323" customFormat="1" ht="18" customHeight="1" x14ac:dyDescent="0.35">
      <c r="A437" s="274">
        <f>MATCH(B437,STUDIES!$A$3:$A$502,0)</f>
        <v>37</v>
      </c>
      <c r="B437" s="272" t="s">
        <v>774</v>
      </c>
      <c r="C437" s="435"/>
      <c r="D437" s="281" t="s">
        <v>1043</v>
      </c>
      <c r="E437" s="272" t="s">
        <v>1163</v>
      </c>
      <c r="F437" s="155" t="str">
        <f>_xlfn.XLOOKUP(B437,STUDIES!$A$3:$A$1063,STUDIES!$G$3:$G$1063,"Not Found!")</f>
        <v>A</v>
      </c>
      <c r="G437" s="273" t="s">
        <v>147</v>
      </c>
      <c r="H437" s="273">
        <v>16</v>
      </c>
      <c r="I437" s="273">
        <v>123</v>
      </c>
      <c r="J437" s="274">
        <v>3</v>
      </c>
      <c r="K437" s="268"/>
      <c r="L437" s="268"/>
      <c r="M437" s="268"/>
      <c r="N437" s="268"/>
      <c r="O437" s="268"/>
      <c r="P437" s="268"/>
      <c r="Q437" s="275"/>
      <c r="R437" s="276"/>
      <c r="S437" s="268"/>
      <c r="T437" s="268"/>
      <c r="U437" s="268"/>
      <c r="V437" s="268"/>
      <c r="W437" s="268"/>
      <c r="X437" s="276"/>
      <c r="Y437" s="268"/>
      <c r="Z437" s="268"/>
      <c r="AA437" s="268"/>
      <c r="AB437" s="268"/>
      <c r="AC437" s="268"/>
      <c r="AD437" s="276"/>
      <c r="AE437" s="268"/>
      <c r="AF437" s="268"/>
      <c r="AG437" s="268"/>
      <c r="AH437" s="268"/>
      <c r="AI437" s="268"/>
      <c r="AJ437" s="276"/>
      <c r="AK437" s="268"/>
      <c r="AL437" s="268"/>
      <c r="AM437" s="268"/>
      <c r="AN437" s="268"/>
      <c r="AO437" s="275"/>
      <c r="AP437" s="268"/>
      <c r="AQ437" s="268"/>
      <c r="AR437" s="268"/>
      <c r="AS437" s="268"/>
      <c r="AT437" s="268"/>
      <c r="AU437" s="268"/>
      <c r="AV437" s="268"/>
      <c r="AW437" s="268"/>
      <c r="AX437" s="268"/>
      <c r="AY437" s="268"/>
      <c r="AZ437" s="268"/>
      <c r="BA437" s="268"/>
      <c r="BB437" s="268"/>
      <c r="BC437" s="268"/>
    </row>
    <row r="438" spans="1:55" s="323" customFormat="1" ht="18" customHeight="1" x14ac:dyDescent="0.35">
      <c r="A438" s="274">
        <f>MATCH(B438,STUDIES!$A$3:$A$502,0)</f>
        <v>37</v>
      </c>
      <c r="B438" s="272" t="s">
        <v>774</v>
      </c>
      <c r="C438" s="435"/>
      <c r="D438" s="281" t="s">
        <v>1043</v>
      </c>
      <c r="E438" s="272" t="s">
        <v>1167</v>
      </c>
      <c r="F438" s="155" t="str">
        <f>_xlfn.XLOOKUP(B438,STUDIES!$A$3:$A$1063,STUDIES!$G$3:$G$1063,"Not Found!")</f>
        <v>A</v>
      </c>
      <c r="G438" s="273" t="s">
        <v>147</v>
      </c>
      <c r="H438" s="273">
        <v>16</v>
      </c>
      <c r="I438" s="273">
        <v>123</v>
      </c>
      <c r="J438" s="274">
        <v>3</v>
      </c>
      <c r="K438" s="268"/>
      <c r="L438" s="268"/>
      <c r="M438" s="268"/>
      <c r="N438" s="268"/>
      <c r="O438" s="268"/>
      <c r="P438" s="268"/>
      <c r="Q438" s="275"/>
      <c r="R438" s="276"/>
      <c r="S438" s="268"/>
      <c r="T438" s="268"/>
      <c r="U438" s="268"/>
      <c r="V438" s="268"/>
      <c r="W438" s="268"/>
      <c r="X438" s="276"/>
      <c r="Y438" s="268"/>
      <c r="Z438" s="268"/>
      <c r="AA438" s="268"/>
      <c r="AB438" s="268"/>
      <c r="AC438" s="268"/>
      <c r="AD438" s="276"/>
      <c r="AE438" s="268"/>
      <c r="AF438" s="268"/>
      <c r="AG438" s="268"/>
      <c r="AH438" s="268"/>
      <c r="AI438" s="268"/>
      <c r="AJ438" s="276"/>
      <c r="AK438" s="268"/>
      <c r="AL438" s="268"/>
      <c r="AM438" s="268"/>
      <c r="AN438" s="268"/>
      <c r="AO438" s="275"/>
      <c r="AP438" s="268"/>
      <c r="AQ438" s="268"/>
      <c r="AR438" s="268"/>
      <c r="AS438" s="268"/>
      <c r="AT438" s="268"/>
      <c r="AU438" s="268"/>
      <c r="AV438" s="268"/>
      <c r="AW438" s="268"/>
      <c r="AX438" s="268"/>
      <c r="AY438" s="268"/>
      <c r="AZ438" s="268"/>
      <c r="BA438" s="268"/>
      <c r="BB438" s="268"/>
      <c r="BC438" s="268"/>
    </row>
    <row r="439" spans="1:55" s="323" customFormat="1" ht="18" customHeight="1" x14ac:dyDescent="0.35">
      <c r="A439" s="274">
        <f>MATCH(B439,STUDIES!$A$3:$A$502,0)</f>
        <v>37</v>
      </c>
      <c r="B439" s="321" t="s">
        <v>774</v>
      </c>
      <c r="C439" s="462"/>
      <c r="D439" s="316" t="s">
        <v>1044</v>
      </c>
      <c r="E439" s="272" t="s">
        <v>154</v>
      </c>
      <c r="F439" s="155" t="str">
        <f>_xlfn.XLOOKUP(B439,STUDIES!$A$3:$A$1063,STUDIES!$G$3:$G$1063,"Not Found!")</f>
        <v>A</v>
      </c>
      <c r="G439" s="273" t="s">
        <v>147</v>
      </c>
      <c r="H439" s="273">
        <v>16</v>
      </c>
      <c r="I439" s="273">
        <v>48</v>
      </c>
      <c r="J439" s="274"/>
      <c r="K439" s="268">
        <v>14</v>
      </c>
      <c r="L439" s="268"/>
      <c r="M439" s="268">
        <v>8.4</v>
      </c>
      <c r="N439" s="268"/>
      <c r="O439" s="268"/>
      <c r="P439" s="268"/>
      <c r="Q439" s="275" t="s">
        <v>90</v>
      </c>
      <c r="R439" s="276">
        <v>-7.56</v>
      </c>
      <c r="S439" s="268">
        <v>0.66</v>
      </c>
      <c r="T439" s="268"/>
      <c r="U439" s="268"/>
      <c r="V439" s="268"/>
      <c r="W439" s="268"/>
      <c r="X439" s="276"/>
      <c r="Y439" s="268"/>
      <c r="Z439" s="268"/>
      <c r="AA439" s="268"/>
      <c r="AB439" s="268"/>
      <c r="AC439" s="268"/>
      <c r="AD439" s="276"/>
      <c r="AE439" s="268"/>
      <c r="AF439" s="268"/>
      <c r="AG439" s="268"/>
      <c r="AH439" s="268"/>
      <c r="AI439" s="268"/>
      <c r="AJ439" s="276"/>
      <c r="AK439" s="268"/>
      <c r="AL439" s="268"/>
      <c r="AM439" s="268"/>
      <c r="AN439" s="268"/>
      <c r="AO439" s="275"/>
      <c r="AP439" s="268"/>
      <c r="AQ439" s="268"/>
      <c r="AR439" s="268"/>
      <c r="AS439" s="268"/>
      <c r="AT439" s="268"/>
      <c r="AU439" s="268"/>
      <c r="AV439" s="268"/>
      <c r="AW439" s="268"/>
      <c r="AX439" s="268"/>
      <c r="AY439" s="268"/>
      <c r="AZ439" s="268"/>
      <c r="BA439" s="268"/>
      <c r="BB439" s="268"/>
      <c r="BC439" s="268"/>
    </row>
    <row r="440" spans="1:55" s="323" customFormat="1" ht="18" customHeight="1" x14ac:dyDescent="0.35">
      <c r="A440" s="274">
        <f>MATCH(B440,STUDIES!$A$3:$A$502,0)</f>
        <v>37</v>
      </c>
      <c r="B440" s="321" t="s">
        <v>774</v>
      </c>
      <c r="C440" s="462"/>
      <c r="D440" s="316" t="s">
        <v>1044</v>
      </c>
      <c r="E440" s="272" t="s">
        <v>151</v>
      </c>
      <c r="F440" s="155" t="str">
        <f>_xlfn.XLOOKUP(B440,STUDIES!$A$3:$A$1063,STUDIES!$G$3:$G$1063,"Not Found!")</f>
        <v>A</v>
      </c>
      <c r="G440" s="273" t="s">
        <v>147</v>
      </c>
      <c r="H440" s="273">
        <v>16</v>
      </c>
      <c r="I440" s="273">
        <v>123</v>
      </c>
      <c r="J440" s="274"/>
      <c r="K440" s="268">
        <v>33</v>
      </c>
      <c r="L440" s="268"/>
      <c r="M440" s="268">
        <v>12.7</v>
      </c>
      <c r="N440" s="268"/>
      <c r="O440" s="268"/>
      <c r="P440" s="268"/>
      <c r="Q440" s="275" t="s">
        <v>92</v>
      </c>
      <c r="R440" s="276"/>
      <c r="S440" s="268"/>
      <c r="T440" s="268"/>
      <c r="U440" s="268"/>
      <c r="V440" s="268"/>
      <c r="W440" s="268"/>
      <c r="X440" s="276"/>
      <c r="Y440" s="268"/>
      <c r="Z440" s="268"/>
      <c r="AA440" s="268"/>
      <c r="AB440" s="268"/>
      <c r="AC440" s="268"/>
      <c r="AD440" s="276"/>
      <c r="AE440" s="268"/>
      <c r="AF440" s="268"/>
      <c r="AG440" s="268"/>
      <c r="AH440" s="268"/>
      <c r="AI440" s="268"/>
      <c r="AJ440" s="276">
        <v>-54.88</v>
      </c>
      <c r="AK440" s="268">
        <v>4.5599999999999996</v>
      </c>
      <c r="AL440" s="268"/>
      <c r="AM440" s="268"/>
      <c r="AN440" s="268"/>
      <c r="AO440" s="275"/>
      <c r="AP440" s="268"/>
      <c r="AQ440" s="268"/>
      <c r="AR440" s="268"/>
      <c r="AS440" s="268"/>
      <c r="AT440" s="268"/>
      <c r="AU440" s="268"/>
      <c r="AV440" s="268"/>
      <c r="AW440" s="268"/>
      <c r="AX440" s="268"/>
      <c r="AY440" s="268"/>
      <c r="AZ440" s="268"/>
      <c r="BA440" s="268"/>
      <c r="BB440" s="268"/>
      <c r="BC440" s="268"/>
    </row>
    <row r="441" spans="1:55" s="323" customFormat="1" ht="18" customHeight="1" x14ac:dyDescent="0.35">
      <c r="A441" s="274">
        <f>MATCH(B441,STUDIES!$A$3:$A$502,0)</f>
        <v>37</v>
      </c>
      <c r="B441" s="321" t="s">
        <v>774</v>
      </c>
      <c r="C441" s="462"/>
      <c r="D441" s="316" t="s">
        <v>1044</v>
      </c>
      <c r="E441" s="272" t="s">
        <v>153</v>
      </c>
      <c r="F441" s="155" t="str">
        <f>_xlfn.XLOOKUP(B441,STUDIES!$A$3:$A$1063,STUDIES!$G$3:$G$1063,"Not Found!")</f>
        <v>A</v>
      </c>
      <c r="G441" s="273" t="s">
        <v>147</v>
      </c>
      <c r="H441" s="273">
        <v>16</v>
      </c>
      <c r="I441" s="273">
        <v>48</v>
      </c>
      <c r="J441" s="274"/>
      <c r="K441" s="268">
        <v>20</v>
      </c>
      <c r="L441" s="268"/>
      <c r="M441" s="268">
        <v>6.3</v>
      </c>
      <c r="N441" s="268"/>
      <c r="O441" s="268"/>
      <c r="P441" s="268"/>
      <c r="Q441" s="275" t="s">
        <v>90</v>
      </c>
      <c r="R441" s="276">
        <v>-7.56</v>
      </c>
      <c r="S441" s="268">
        <v>0.88</v>
      </c>
      <c r="T441" s="268"/>
      <c r="U441" s="268"/>
      <c r="V441" s="268"/>
      <c r="W441" s="268"/>
      <c r="X441" s="276"/>
      <c r="Y441" s="268"/>
      <c r="Z441" s="268"/>
      <c r="AA441" s="268"/>
      <c r="AB441" s="268"/>
      <c r="AC441" s="268"/>
      <c r="AD441" s="276"/>
      <c r="AE441" s="268"/>
      <c r="AF441" s="268"/>
      <c r="AG441" s="268"/>
      <c r="AH441" s="268"/>
      <c r="AI441" s="268"/>
      <c r="AJ441" s="276"/>
      <c r="AK441" s="268"/>
      <c r="AL441" s="268"/>
      <c r="AM441" s="268"/>
      <c r="AN441" s="268"/>
      <c r="AO441" s="275"/>
      <c r="AP441" s="268"/>
      <c r="AQ441" s="268"/>
      <c r="AR441" s="268"/>
      <c r="AS441" s="268"/>
      <c r="AT441" s="268"/>
      <c r="AU441" s="268"/>
      <c r="AV441" s="268"/>
      <c r="AW441" s="268"/>
      <c r="AX441" s="268"/>
      <c r="AY441" s="268"/>
      <c r="AZ441" s="268"/>
      <c r="BA441" s="268"/>
      <c r="BB441" s="268"/>
      <c r="BC441" s="268"/>
    </row>
    <row r="442" spans="1:55" s="323" customFormat="1" ht="18" customHeight="1" x14ac:dyDescent="0.35">
      <c r="A442" s="274">
        <f>MATCH(B442,STUDIES!$A$3:$A$502,0)</f>
        <v>37</v>
      </c>
      <c r="B442" s="321" t="s">
        <v>774</v>
      </c>
      <c r="C442" s="462"/>
      <c r="D442" s="316" t="s">
        <v>1044</v>
      </c>
      <c r="E442" s="272" t="s">
        <v>695</v>
      </c>
      <c r="F442" s="155" t="str">
        <f>_xlfn.XLOOKUP(B442,STUDIES!$A$3:$A$1063,STUDIES!$G$3:$G$1063,"Not Found!")</f>
        <v>A</v>
      </c>
      <c r="G442" s="273" t="s">
        <v>147</v>
      </c>
      <c r="H442" s="273">
        <v>16</v>
      </c>
      <c r="I442" s="273">
        <v>47</v>
      </c>
      <c r="J442" s="274"/>
      <c r="K442" s="268">
        <v>6.6</v>
      </c>
      <c r="L442" s="268"/>
      <c r="M442" s="268">
        <v>2.2000000000000002</v>
      </c>
      <c r="N442" s="268"/>
      <c r="O442" s="268"/>
      <c r="P442" s="268"/>
      <c r="Q442" s="275" t="s">
        <v>92</v>
      </c>
      <c r="R442" s="276"/>
      <c r="S442" s="268"/>
      <c r="T442" s="268"/>
      <c r="U442" s="268"/>
      <c r="V442" s="268"/>
      <c r="W442" s="268"/>
      <c r="X442" s="276"/>
      <c r="Y442" s="268"/>
      <c r="Z442" s="268"/>
      <c r="AA442" s="268"/>
      <c r="AB442" s="268"/>
      <c r="AC442" s="268"/>
      <c r="AD442" s="276"/>
      <c r="AE442" s="268"/>
      <c r="AF442" s="268"/>
      <c r="AG442" s="268"/>
      <c r="AH442" s="268"/>
      <c r="AI442" s="268"/>
      <c r="AJ442" s="276">
        <v>-46.87</v>
      </c>
      <c r="AK442" s="268">
        <v>5.43</v>
      </c>
      <c r="AL442" s="268"/>
      <c r="AM442" s="268"/>
      <c r="AN442" s="268"/>
      <c r="AO442" s="275"/>
      <c r="AP442" s="268"/>
      <c r="AQ442" s="268"/>
      <c r="AR442" s="268"/>
      <c r="AS442" s="268"/>
      <c r="AT442" s="268"/>
      <c r="AU442" s="268"/>
      <c r="AV442" s="268"/>
      <c r="AW442" s="268"/>
      <c r="AX442" s="268"/>
      <c r="AY442" s="268"/>
      <c r="AZ442" s="268"/>
      <c r="BA442" s="268"/>
      <c r="BB442" s="268"/>
      <c r="BC442" s="268"/>
    </row>
    <row r="443" spans="1:55" s="323" customFormat="1" ht="18" customHeight="1" x14ac:dyDescent="0.35">
      <c r="A443" s="274">
        <f>MATCH(B443,STUDIES!$A$3:$A$502,0)</f>
        <v>37</v>
      </c>
      <c r="B443" s="272" t="s">
        <v>774</v>
      </c>
      <c r="C443" s="435"/>
      <c r="D443" s="281" t="s">
        <v>1044</v>
      </c>
      <c r="E443" s="272" t="s">
        <v>1163</v>
      </c>
      <c r="F443" s="155" t="str">
        <f>_xlfn.XLOOKUP(B443,STUDIES!$A$3:$A$1063,STUDIES!$G$3:$G$1063,"Not Found!")</f>
        <v>A</v>
      </c>
      <c r="G443" s="273" t="s">
        <v>147</v>
      </c>
      <c r="H443" s="273">
        <v>16</v>
      </c>
      <c r="I443" s="273">
        <v>123</v>
      </c>
      <c r="J443" s="274">
        <v>1</v>
      </c>
      <c r="K443" s="268"/>
      <c r="L443" s="268"/>
      <c r="M443" s="268"/>
      <c r="N443" s="268"/>
      <c r="O443" s="268"/>
      <c r="P443" s="268"/>
      <c r="Q443" s="275"/>
      <c r="R443" s="276"/>
      <c r="S443" s="268"/>
      <c r="T443" s="268"/>
      <c r="U443" s="268"/>
      <c r="V443" s="268"/>
      <c r="W443" s="268"/>
      <c r="X443" s="276"/>
      <c r="Y443" s="268"/>
      <c r="Z443" s="268"/>
      <c r="AA443" s="268"/>
      <c r="AB443" s="268"/>
      <c r="AC443" s="268"/>
      <c r="AD443" s="276"/>
      <c r="AE443" s="268"/>
      <c r="AF443" s="268"/>
      <c r="AG443" s="268"/>
      <c r="AH443" s="268"/>
      <c r="AI443" s="268"/>
      <c r="AJ443" s="276"/>
      <c r="AK443" s="268"/>
      <c r="AL443" s="268"/>
      <c r="AM443" s="268"/>
      <c r="AN443" s="268"/>
      <c r="AO443" s="275"/>
      <c r="AP443" s="268"/>
      <c r="AQ443" s="268"/>
      <c r="AR443" s="268"/>
      <c r="AS443" s="268"/>
      <c r="AT443" s="268"/>
      <c r="AU443" s="268"/>
      <c r="AV443" s="268"/>
      <c r="AW443" s="268"/>
      <c r="AX443" s="268"/>
      <c r="AY443" s="268"/>
      <c r="AZ443" s="268"/>
      <c r="BA443" s="268"/>
      <c r="BB443" s="268"/>
      <c r="BC443" s="268"/>
    </row>
    <row r="444" spans="1:55" s="323" customFormat="1" ht="18" customHeight="1" x14ac:dyDescent="0.35">
      <c r="A444" s="274">
        <f>MATCH(B444,STUDIES!$A$3:$A$502,0)</f>
        <v>37</v>
      </c>
      <c r="B444" s="272" t="s">
        <v>774</v>
      </c>
      <c r="C444" s="435"/>
      <c r="D444" s="281" t="s">
        <v>1044</v>
      </c>
      <c r="E444" s="272" t="s">
        <v>1167</v>
      </c>
      <c r="F444" s="155" t="str">
        <f>_xlfn.XLOOKUP(B444,STUDIES!$A$3:$A$1063,STUDIES!$G$3:$G$1063,"Not Found!")</f>
        <v>A</v>
      </c>
      <c r="G444" s="273" t="s">
        <v>147</v>
      </c>
      <c r="H444" s="273">
        <v>16</v>
      </c>
      <c r="I444" s="273">
        <v>123</v>
      </c>
      <c r="J444" s="274">
        <v>2</v>
      </c>
      <c r="K444" s="268"/>
      <c r="L444" s="268"/>
      <c r="M444" s="268"/>
      <c r="N444" s="268"/>
      <c r="O444" s="268"/>
      <c r="P444" s="268"/>
      <c r="Q444" s="275"/>
      <c r="R444" s="276"/>
      <c r="S444" s="268"/>
      <c r="T444" s="268"/>
      <c r="U444" s="268"/>
      <c r="V444" s="268"/>
      <c r="W444" s="268"/>
      <c r="X444" s="276"/>
      <c r="Y444" s="268"/>
      <c r="Z444" s="268"/>
      <c r="AA444" s="268"/>
      <c r="AB444" s="268"/>
      <c r="AC444" s="268"/>
      <c r="AD444" s="276"/>
      <c r="AE444" s="268"/>
      <c r="AF444" s="268"/>
      <c r="AG444" s="268"/>
      <c r="AH444" s="268"/>
      <c r="AI444" s="268"/>
      <c r="AJ444" s="276"/>
      <c r="AK444" s="268"/>
      <c r="AL444" s="268"/>
      <c r="AM444" s="268"/>
      <c r="AN444" s="268"/>
      <c r="AO444" s="275"/>
      <c r="AP444" s="268"/>
      <c r="AQ444" s="268"/>
      <c r="AR444" s="268"/>
      <c r="AS444" s="268"/>
      <c r="AT444" s="268"/>
      <c r="AU444" s="268"/>
      <c r="AV444" s="268"/>
      <c r="AW444" s="268"/>
      <c r="AX444" s="268"/>
      <c r="AY444" s="268"/>
      <c r="AZ444" s="268"/>
      <c r="BA444" s="268"/>
      <c r="BB444" s="268"/>
      <c r="BC444" s="268"/>
    </row>
    <row r="445" spans="1:55" s="323" customFormat="1" ht="18" customHeight="1" x14ac:dyDescent="0.35">
      <c r="A445" s="274">
        <f>MATCH(B445,STUDIES!$A$3:$A$502,0)</f>
        <v>37</v>
      </c>
      <c r="B445" s="321" t="s">
        <v>774</v>
      </c>
      <c r="C445" s="462"/>
      <c r="D445" s="316" t="s">
        <v>148</v>
      </c>
      <c r="E445" s="272" t="s">
        <v>154</v>
      </c>
      <c r="F445" s="155" t="str">
        <f>_xlfn.XLOOKUP(B445,STUDIES!$A$3:$A$1063,STUDIES!$G$3:$G$1063,"Not Found!")</f>
        <v>A</v>
      </c>
      <c r="G445" s="273" t="s">
        <v>147</v>
      </c>
      <c r="H445" s="273">
        <v>16</v>
      </c>
      <c r="I445" s="273">
        <v>52</v>
      </c>
      <c r="J445" s="274"/>
      <c r="K445" s="268">
        <v>15</v>
      </c>
      <c r="L445" s="268"/>
      <c r="M445" s="268">
        <v>8.1</v>
      </c>
      <c r="N445" s="268"/>
      <c r="O445" s="268"/>
      <c r="P445" s="268"/>
      <c r="Q445" s="275" t="s">
        <v>90</v>
      </c>
      <c r="R445" s="276">
        <v>-3.35</v>
      </c>
      <c r="S445" s="268">
        <v>0.62</v>
      </c>
      <c r="T445" s="268"/>
      <c r="U445" s="268"/>
      <c r="V445" s="268"/>
      <c r="W445" s="268"/>
      <c r="X445" s="276"/>
      <c r="Y445" s="268"/>
      <c r="Z445" s="268"/>
      <c r="AA445" s="268"/>
      <c r="AB445" s="268"/>
      <c r="AC445" s="268"/>
      <c r="AD445" s="276"/>
      <c r="AE445" s="268"/>
      <c r="AF445" s="268"/>
      <c r="AG445" s="268"/>
      <c r="AH445" s="268"/>
      <c r="AI445" s="268"/>
      <c r="AJ445" s="276"/>
      <c r="AK445" s="268"/>
      <c r="AL445" s="268"/>
      <c r="AM445" s="268"/>
      <c r="AN445" s="268"/>
      <c r="AO445" s="275"/>
      <c r="AP445" s="268"/>
      <c r="AQ445" s="268"/>
      <c r="AR445" s="268"/>
      <c r="AS445" s="268"/>
      <c r="AT445" s="268"/>
      <c r="AU445" s="268"/>
      <c r="AV445" s="268"/>
      <c r="AW445" s="268"/>
      <c r="AX445" s="268"/>
      <c r="AY445" s="268"/>
      <c r="AZ445" s="268"/>
      <c r="BA445" s="268"/>
      <c r="BB445" s="268"/>
      <c r="BC445" s="268"/>
    </row>
    <row r="446" spans="1:55" s="323" customFormat="1" ht="18" customHeight="1" x14ac:dyDescent="0.35">
      <c r="A446" s="274">
        <f>MATCH(B446,STUDIES!$A$3:$A$502,0)</f>
        <v>37</v>
      </c>
      <c r="B446" s="321" t="s">
        <v>774</v>
      </c>
      <c r="C446" s="462"/>
      <c r="D446" s="316" t="s">
        <v>148</v>
      </c>
      <c r="E446" s="272" t="s">
        <v>151</v>
      </c>
      <c r="F446" s="155" t="str">
        <f>_xlfn.XLOOKUP(B446,STUDIES!$A$3:$A$1063,STUDIES!$G$3:$G$1063,"Not Found!")</f>
        <v>A</v>
      </c>
      <c r="G446" s="273" t="s">
        <v>147</v>
      </c>
      <c r="H446" s="273">
        <v>16</v>
      </c>
      <c r="I446" s="273">
        <v>244</v>
      </c>
      <c r="J446" s="274"/>
      <c r="K446" s="268">
        <v>33</v>
      </c>
      <c r="L446" s="268"/>
      <c r="M446" s="268">
        <v>12.8</v>
      </c>
      <c r="N446" s="268"/>
      <c r="O446" s="268"/>
      <c r="P446" s="268"/>
      <c r="Q446" s="275" t="s">
        <v>92</v>
      </c>
      <c r="R446" s="276"/>
      <c r="S446" s="268"/>
      <c r="T446" s="268"/>
      <c r="U446" s="268"/>
      <c r="V446" s="268"/>
      <c r="W446" s="268"/>
      <c r="X446" s="276"/>
      <c r="Y446" s="268"/>
      <c r="Z446" s="268"/>
      <c r="AA446" s="268"/>
      <c r="AB446" s="268"/>
      <c r="AC446" s="268"/>
      <c r="AD446" s="276"/>
      <c r="AE446" s="268"/>
      <c r="AF446" s="268"/>
      <c r="AG446" s="268"/>
      <c r="AH446" s="268"/>
      <c r="AI446" s="268"/>
      <c r="AJ446" s="276">
        <v>-28.91</v>
      </c>
      <c r="AK446" s="268">
        <v>4.32</v>
      </c>
      <c r="AL446" s="268"/>
      <c r="AM446" s="268"/>
      <c r="AN446" s="268"/>
      <c r="AO446" s="275"/>
      <c r="AP446" s="268"/>
      <c r="AQ446" s="268"/>
      <c r="AR446" s="268"/>
      <c r="AS446" s="268"/>
      <c r="AT446" s="268"/>
      <c r="AU446" s="268"/>
      <c r="AV446" s="268"/>
      <c r="AW446" s="268"/>
      <c r="AX446" s="268"/>
      <c r="AY446" s="268"/>
      <c r="AZ446" s="268"/>
      <c r="BA446" s="268"/>
      <c r="BB446" s="268"/>
      <c r="BC446" s="268"/>
    </row>
    <row r="447" spans="1:55" ht="18" customHeight="1" x14ac:dyDescent="0.35">
      <c r="A447" s="274">
        <f>MATCH(B447,STUDIES!$A$3:$A$502,0)</f>
        <v>37</v>
      </c>
      <c r="B447" s="321" t="s">
        <v>774</v>
      </c>
      <c r="C447" s="462"/>
      <c r="D447" s="316" t="s">
        <v>148</v>
      </c>
      <c r="E447" s="272" t="s">
        <v>153</v>
      </c>
      <c r="F447" s="155" t="str">
        <f>_xlfn.XLOOKUP(B447,STUDIES!$A$3:$A$1063,STUDIES!$G$3:$G$1063,"Not Found!")</f>
        <v>A</v>
      </c>
      <c r="G447" s="273" t="s">
        <v>147</v>
      </c>
      <c r="H447" s="273">
        <v>16</v>
      </c>
      <c r="I447" s="273">
        <v>52</v>
      </c>
      <c r="K447" s="268">
        <v>21</v>
      </c>
      <c r="M447" s="268">
        <v>6.3</v>
      </c>
      <c r="Q447" s="282" t="s">
        <v>90</v>
      </c>
      <c r="R447" s="283">
        <v>-1.48</v>
      </c>
      <c r="S447" s="268">
        <v>0.84</v>
      </c>
    </row>
    <row r="448" spans="1:55" ht="18" customHeight="1" x14ac:dyDescent="0.35">
      <c r="A448" s="274">
        <f>MATCH(B448,STUDIES!$A$3:$A$502,0)</f>
        <v>37</v>
      </c>
      <c r="B448" s="321" t="s">
        <v>774</v>
      </c>
      <c r="C448" s="462"/>
      <c r="D448" s="316" t="s">
        <v>148</v>
      </c>
      <c r="E448" s="272" t="s">
        <v>695</v>
      </c>
      <c r="F448" s="155" t="str">
        <f>_xlfn.XLOOKUP(B448,STUDIES!$A$3:$A$1063,STUDIES!$G$3:$G$1063,"Not Found!")</f>
        <v>A</v>
      </c>
      <c r="G448" s="273" t="s">
        <v>147</v>
      </c>
      <c r="H448" s="273">
        <v>16</v>
      </c>
      <c r="I448" s="273">
        <v>48</v>
      </c>
      <c r="K448" s="268">
        <v>6.8</v>
      </c>
      <c r="M448" s="268">
        <v>2.2000000000000002</v>
      </c>
      <c r="Q448" s="282" t="s">
        <v>92</v>
      </c>
      <c r="AJ448" s="276">
        <v>-16.579999999999998</v>
      </c>
      <c r="AK448" s="268">
        <v>5.45</v>
      </c>
    </row>
    <row r="449" spans="1:47" ht="18" customHeight="1" x14ac:dyDescent="0.35">
      <c r="A449" s="274">
        <f>MATCH(B449,STUDIES!$A$3:$A$502,0)</f>
        <v>37</v>
      </c>
      <c r="B449" s="272" t="s">
        <v>774</v>
      </c>
      <c r="D449" s="281" t="s">
        <v>148</v>
      </c>
      <c r="E449" s="272" t="s">
        <v>1163</v>
      </c>
      <c r="F449" s="155" t="str">
        <f>_xlfn.XLOOKUP(B449,STUDIES!$A$3:$A$1063,STUDIES!$G$3:$G$1063,"Not Found!")</f>
        <v>A</v>
      </c>
      <c r="G449" s="273" t="s">
        <v>147</v>
      </c>
      <c r="H449" s="273">
        <v>16</v>
      </c>
      <c r="I449" s="273">
        <v>244</v>
      </c>
      <c r="J449" s="274">
        <v>9</v>
      </c>
    </row>
    <row r="450" spans="1:47" ht="18" customHeight="1" x14ac:dyDescent="0.35">
      <c r="A450" s="274">
        <f>MATCH(B450,STUDIES!$A$3:$A$502,0)</f>
        <v>37</v>
      </c>
      <c r="B450" s="272" t="s">
        <v>774</v>
      </c>
      <c r="D450" s="281" t="s">
        <v>148</v>
      </c>
      <c r="E450" s="272" t="s">
        <v>1167</v>
      </c>
      <c r="F450" s="155" t="str">
        <f>_xlfn.XLOOKUP(B450,STUDIES!$A$3:$A$1063,STUDIES!$G$3:$G$1063,"Not Found!")</f>
        <v>A</v>
      </c>
      <c r="G450" s="273" t="s">
        <v>147</v>
      </c>
      <c r="H450" s="273">
        <v>16</v>
      </c>
      <c r="I450" s="273">
        <v>244</v>
      </c>
      <c r="J450" s="274">
        <v>2</v>
      </c>
    </row>
    <row r="451" spans="1:47" ht="18" customHeight="1" x14ac:dyDescent="0.35">
      <c r="A451" s="274">
        <f>MATCH(B451,STUDIES!$A$3:$A$502,0)</f>
        <v>38</v>
      </c>
      <c r="B451" s="256" t="s">
        <v>900</v>
      </c>
      <c r="C451" s="458"/>
      <c r="D451" s="269" t="s">
        <v>1059</v>
      </c>
      <c r="E451" s="256" t="s">
        <v>154</v>
      </c>
      <c r="F451" s="155" t="str">
        <f>_xlfn.XLOOKUP(B451,STUDIES!$A$3:$A$1063,STUDIES!$G$3:$G$1063,"Not Found!")</f>
        <v>A</v>
      </c>
      <c r="G451" s="257" t="s">
        <v>147</v>
      </c>
      <c r="H451" s="257">
        <v>16</v>
      </c>
      <c r="I451" s="257">
        <v>223</v>
      </c>
      <c r="J451" s="258"/>
      <c r="K451" s="259"/>
      <c r="L451" s="259"/>
      <c r="M451" s="259"/>
      <c r="N451" s="259"/>
      <c r="O451" s="259"/>
      <c r="P451" s="259"/>
      <c r="Q451" s="279" t="s">
        <v>90</v>
      </c>
      <c r="R451" s="289">
        <v>-9</v>
      </c>
      <c r="S451" s="263">
        <v>0.4</v>
      </c>
      <c r="T451" s="259"/>
      <c r="U451" s="259"/>
      <c r="V451" s="259"/>
      <c r="W451" s="259"/>
      <c r="X451" s="264"/>
      <c r="Y451" s="259"/>
      <c r="Z451" s="259"/>
      <c r="AA451" s="259"/>
      <c r="AB451" s="259"/>
      <c r="AC451" s="259"/>
      <c r="AD451" s="264"/>
      <c r="AE451" s="259"/>
      <c r="AF451" s="259"/>
      <c r="AG451" s="259"/>
      <c r="AH451" s="259"/>
      <c r="AI451" s="259"/>
      <c r="AJ451" s="265"/>
      <c r="AK451" s="266"/>
      <c r="AL451" s="266"/>
      <c r="AM451" s="266"/>
      <c r="AN451" s="266"/>
      <c r="AO451" s="267"/>
      <c r="AP451" s="266"/>
      <c r="AQ451" s="266"/>
      <c r="AR451" s="266"/>
      <c r="AS451" s="266"/>
      <c r="AT451" s="266"/>
      <c r="AU451" s="267"/>
    </row>
    <row r="452" spans="1:47" ht="18" customHeight="1" x14ac:dyDescent="0.35">
      <c r="A452" s="274">
        <f>MATCH(B452,STUDIES!$A$3:$A$502,0)</f>
        <v>38</v>
      </c>
      <c r="B452" s="256" t="s">
        <v>900</v>
      </c>
      <c r="C452" s="458"/>
      <c r="D452" s="269" t="s">
        <v>1059</v>
      </c>
      <c r="E452" s="256" t="s">
        <v>151</v>
      </c>
      <c r="F452" s="155" t="str">
        <f>_xlfn.XLOOKUP(B452,STUDIES!$A$3:$A$1063,STUDIES!$G$3:$G$1063,"Not Found!")</f>
        <v>A</v>
      </c>
      <c r="G452" s="257" t="s">
        <v>147</v>
      </c>
      <c r="H452" s="257">
        <v>16</v>
      </c>
      <c r="I452" s="257">
        <v>223</v>
      </c>
      <c r="J452" s="258"/>
      <c r="K452" s="259">
        <v>33.200000000000003</v>
      </c>
      <c r="L452" s="259"/>
      <c r="M452" s="259">
        <v>13.98</v>
      </c>
      <c r="N452" s="259"/>
      <c r="O452" s="259"/>
      <c r="P452" s="259"/>
      <c r="Q452" s="290" t="s">
        <v>92</v>
      </c>
      <c r="R452" s="280"/>
      <c r="S452" s="319"/>
      <c r="T452" s="263"/>
      <c r="U452" s="263"/>
      <c r="V452" s="263"/>
      <c r="W452" s="263"/>
      <c r="X452" s="264"/>
      <c r="Y452" s="259"/>
      <c r="Z452" s="259"/>
      <c r="AA452" s="259"/>
      <c r="AB452" s="259"/>
      <c r="AC452" s="259"/>
      <c r="AD452" s="264"/>
      <c r="AE452" s="259"/>
      <c r="AF452" s="259"/>
      <c r="AG452" s="259"/>
      <c r="AH452" s="259"/>
      <c r="AI452" s="259"/>
      <c r="AJ452" s="265">
        <v>-72</v>
      </c>
      <c r="AK452" s="266">
        <v>2.6</v>
      </c>
      <c r="AL452" s="266"/>
      <c r="AM452" s="266"/>
      <c r="AN452" s="266"/>
      <c r="AO452" s="267"/>
      <c r="AP452" s="266"/>
      <c r="AQ452" s="266"/>
      <c r="AR452" s="266"/>
      <c r="AS452" s="266"/>
      <c r="AT452" s="266"/>
      <c r="AU452" s="267"/>
    </row>
    <row r="453" spans="1:47" ht="18" customHeight="1" x14ac:dyDescent="0.35">
      <c r="A453" s="274">
        <f>MATCH(B453,STUDIES!$A$3:$A$502,0)</f>
        <v>38</v>
      </c>
      <c r="B453" s="256" t="s">
        <v>900</v>
      </c>
      <c r="C453" s="458"/>
      <c r="D453" s="269" t="s">
        <v>1059</v>
      </c>
      <c r="E453" s="270" t="s">
        <v>289</v>
      </c>
      <c r="F453" s="155" t="str">
        <f>_xlfn.XLOOKUP(B453,STUDIES!$A$3:$A$1063,STUDIES!$G$3:$G$1063,"Not Found!")</f>
        <v>A</v>
      </c>
      <c r="G453" s="257" t="s">
        <v>147</v>
      </c>
      <c r="H453" s="257">
        <v>16</v>
      </c>
      <c r="I453" s="257">
        <v>223</v>
      </c>
      <c r="J453" s="258"/>
      <c r="K453" s="259"/>
      <c r="L453" s="259"/>
      <c r="M453" s="259"/>
      <c r="N453" s="259"/>
      <c r="O453" s="259"/>
      <c r="P453" s="259"/>
      <c r="Q453" s="279" t="s">
        <v>90</v>
      </c>
      <c r="R453" s="289">
        <v>-3.72</v>
      </c>
      <c r="S453" s="263">
        <v>0.17</v>
      </c>
      <c r="T453" s="259"/>
      <c r="U453" s="259"/>
      <c r="V453" s="259"/>
      <c r="W453" s="259"/>
      <c r="X453" s="264"/>
      <c r="Y453" s="259"/>
      <c r="Z453" s="259"/>
      <c r="AA453" s="259"/>
      <c r="AB453" s="259"/>
      <c r="AC453" s="259"/>
      <c r="AD453" s="264"/>
      <c r="AE453" s="259"/>
      <c r="AF453" s="259"/>
      <c r="AG453" s="259"/>
      <c r="AH453" s="259"/>
      <c r="AI453" s="259"/>
      <c r="AJ453" s="265"/>
      <c r="AK453" s="266"/>
      <c r="AL453" s="266"/>
      <c r="AM453" s="266"/>
      <c r="AN453" s="266"/>
      <c r="AO453" s="267"/>
      <c r="AP453" s="266"/>
      <c r="AQ453" s="266"/>
      <c r="AR453" s="266"/>
      <c r="AS453" s="266"/>
      <c r="AT453" s="266"/>
      <c r="AU453" s="267"/>
    </row>
    <row r="454" spans="1:47" ht="18" customHeight="1" x14ac:dyDescent="0.35">
      <c r="A454" s="274">
        <f>MATCH(B454,STUDIES!$A$3:$A$502,0)</f>
        <v>38</v>
      </c>
      <c r="B454" s="256" t="s">
        <v>900</v>
      </c>
      <c r="C454" s="458"/>
      <c r="D454" s="269" t="s">
        <v>1059</v>
      </c>
      <c r="E454" s="256" t="s">
        <v>153</v>
      </c>
      <c r="F454" s="155" t="str">
        <f>_xlfn.XLOOKUP(B454,STUDIES!$A$3:$A$1063,STUDIES!$G$3:$G$1063,"Not Found!")</f>
        <v>A</v>
      </c>
      <c r="G454" s="257" t="s">
        <v>147</v>
      </c>
      <c r="H454" s="257">
        <v>16</v>
      </c>
      <c r="I454" s="257">
        <v>223</v>
      </c>
      <c r="J454" s="258"/>
      <c r="K454" s="259"/>
      <c r="L454" s="259"/>
      <c r="M454" s="259"/>
      <c r="N454" s="259"/>
      <c r="O454" s="259"/>
      <c r="P454" s="259"/>
      <c r="Q454" s="279" t="s">
        <v>90</v>
      </c>
      <c r="R454" s="289">
        <v>-11</v>
      </c>
      <c r="S454" s="263">
        <v>0.5</v>
      </c>
      <c r="T454" s="259"/>
      <c r="U454" s="259"/>
      <c r="V454" s="259"/>
      <c r="W454" s="259"/>
      <c r="X454" s="264"/>
      <c r="Y454" s="259"/>
      <c r="Z454" s="259"/>
      <c r="AA454" s="259"/>
      <c r="AB454" s="259"/>
      <c r="AC454" s="259"/>
      <c r="AD454" s="264"/>
      <c r="AE454" s="259"/>
      <c r="AF454" s="259"/>
      <c r="AG454" s="259"/>
      <c r="AH454" s="259"/>
      <c r="AI454" s="259"/>
      <c r="AJ454" s="265"/>
      <c r="AK454" s="266"/>
      <c r="AL454" s="266"/>
      <c r="AM454" s="266"/>
      <c r="AN454" s="266"/>
      <c r="AO454" s="267"/>
      <c r="AP454" s="266"/>
      <c r="AQ454" s="266"/>
      <c r="AR454" s="266"/>
      <c r="AS454" s="266"/>
      <c r="AT454" s="266"/>
      <c r="AU454" s="267"/>
    </row>
    <row r="455" spans="1:47" ht="18" customHeight="1" x14ac:dyDescent="0.35">
      <c r="A455" s="274">
        <f>MATCH(B455,STUDIES!$A$3:$A$502,0)</f>
        <v>38</v>
      </c>
      <c r="B455" s="256" t="s">
        <v>900</v>
      </c>
      <c r="C455" s="458"/>
      <c r="D455" s="278" t="s">
        <v>1056</v>
      </c>
      <c r="E455" s="256" t="s">
        <v>154</v>
      </c>
      <c r="F455" s="155" t="str">
        <f>_xlfn.XLOOKUP(B455,STUDIES!$A$3:$A$1063,STUDIES!$G$3:$G$1063,"Not Found!")</f>
        <v>A</v>
      </c>
      <c r="G455" s="257" t="s">
        <v>147</v>
      </c>
      <c r="H455" s="257">
        <v>16</v>
      </c>
      <c r="I455" s="257">
        <v>224</v>
      </c>
      <c r="J455" s="258"/>
      <c r="K455" s="259"/>
      <c r="L455" s="259"/>
      <c r="M455" s="259"/>
      <c r="N455" s="259"/>
      <c r="O455" s="259"/>
      <c r="P455" s="259"/>
      <c r="Q455" s="279" t="s">
        <v>90</v>
      </c>
      <c r="R455" s="289">
        <v>-9.3000000000000007</v>
      </c>
      <c r="S455" s="263">
        <v>0.4</v>
      </c>
      <c r="T455" s="259"/>
      <c r="U455" s="259"/>
      <c r="V455" s="259"/>
      <c r="W455" s="259"/>
      <c r="X455" s="264"/>
      <c r="Y455" s="259"/>
      <c r="Z455" s="259"/>
      <c r="AA455" s="259"/>
      <c r="AB455" s="259"/>
      <c r="AC455" s="259"/>
      <c r="AD455" s="264"/>
      <c r="AE455" s="259"/>
      <c r="AF455" s="259"/>
      <c r="AG455" s="259"/>
      <c r="AH455" s="259"/>
      <c r="AI455" s="259"/>
      <c r="AJ455" s="265"/>
      <c r="AK455" s="266"/>
      <c r="AL455" s="266"/>
      <c r="AM455" s="266"/>
      <c r="AN455" s="266"/>
      <c r="AO455" s="267"/>
      <c r="AP455" s="266"/>
      <c r="AQ455" s="266"/>
      <c r="AR455" s="266"/>
      <c r="AS455" s="266"/>
      <c r="AT455" s="266"/>
      <c r="AU455" s="267"/>
    </row>
    <row r="456" spans="1:47" ht="18" customHeight="1" x14ac:dyDescent="0.35">
      <c r="A456" s="274">
        <f>MATCH(B456,STUDIES!$A$3:$A$502,0)</f>
        <v>38</v>
      </c>
      <c r="B456" s="256" t="s">
        <v>900</v>
      </c>
      <c r="C456" s="458"/>
      <c r="D456" s="278" t="s">
        <v>1056</v>
      </c>
      <c r="E456" s="256" t="s">
        <v>151</v>
      </c>
      <c r="F456" s="155" t="str">
        <f>_xlfn.XLOOKUP(B456,STUDIES!$A$3:$A$1063,STUDIES!$G$3:$G$1063,"Not Found!")</f>
        <v>A</v>
      </c>
      <c r="G456" s="257" t="s">
        <v>147</v>
      </c>
      <c r="H456" s="257">
        <v>16</v>
      </c>
      <c r="I456" s="257">
        <v>224</v>
      </c>
      <c r="J456" s="258"/>
      <c r="K456" s="259">
        <v>33</v>
      </c>
      <c r="L456" s="259"/>
      <c r="M456" s="259">
        <v>13.57</v>
      </c>
      <c r="N456" s="259"/>
      <c r="O456" s="259"/>
      <c r="P456" s="259"/>
      <c r="Q456" s="290" t="s">
        <v>92</v>
      </c>
      <c r="R456" s="280"/>
      <c r="S456" s="319"/>
      <c r="T456" s="259"/>
      <c r="U456" s="259"/>
      <c r="V456" s="259"/>
      <c r="W456" s="259"/>
      <c r="X456" s="264"/>
      <c r="Y456" s="259"/>
      <c r="Z456" s="259"/>
      <c r="AA456" s="259"/>
      <c r="AB456" s="259"/>
      <c r="AC456" s="259"/>
      <c r="AD456" s="264"/>
      <c r="AE456" s="259"/>
      <c r="AF456" s="259"/>
      <c r="AG456" s="259"/>
      <c r="AH456" s="259"/>
      <c r="AI456" s="259"/>
      <c r="AJ456" s="265">
        <v>-72.3</v>
      </c>
      <c r="AK456" s="266">
        <v>2.6</v>
      </c>
      <c r="AL456" s="266"/>
      <c r="AM456" s="266"/>
      <c r="AN456" s="266"/>
      <c r="AO456" s="267"/>
      <c r="AP456" s="266"/>
      <c r="AQ456" s="266"/>
      <c r="AR456" s="266"/>
      <c r="AS456" s="266"/>
      <c r="AT456" s="266"/>
      <c r="AU456" s="267"/>
    </row>
    <row r="457" spans="1:47" ht="18" customHeight="1" x14ac:dyDescent="0.35">
      <c r="A457" s="274">
        <f>MATCH(B457,STUDIES!$A$3:$A$502,0)</f>
        <v>38</v>
      </c>
      <c r="B457" s="256" t="s">
        <v>900</v>
      </c>
      <c r="C457" s="458"/>
      <c r="D457" s="278" t="s">
        <v>1056</v>
      </c>
      <c r="E457" s="270" t="s">
        <v>289</v>
      </c>
      <c r="F457" s="155" t="str">
        <f>_xlfn.XLOOKUP(B457,STUDIES!$A$3:$A$1063,STUDIES!$G$3:$G$1063,"Not Found!")</f>
        <v>A</v>
      </c>
      <c r="G457" s="257" t="s">
        <v>147</v>
      </c>
      <c r="H457" s="257">
        <v>16</v>
      </c>
      <c r="I457" s="257">
        <v>224</v>
      </c>
      <c r="J457" s="258"/>
      <c r="K457" s="259"/>
      <c r="L457" s="259"/>
      <c r="M457" s="259"/>
      <c r="N457" s="259"/>
      <c r="O457" s="259"/>
      <c r="P457" s="259"/>
      <c r="Q457" s="279" t="s">
        <v>90</v>
      </c>
      <c r="R457" s="289">
        <v>-3.78</v>
      </c>
      <c r="S457" s="263">
        <v>0.16</v>
      </c>
      <c r="T457" s="259"/>
      <c r="U457" s="259"/>
      <c r="V457" s="259"/>
      <c r="W457" s="259"/>
      <c r="X457" s="264"/>
      <c r="Y457" s="259"/>
      <c r="Z457" s="259"/>
      <c r="AA457" s="259"/>
      <c r="AB457" s="259"/>
      <c r="AC457" s="259"/>
      <c r="AD457" s="264"/>
      <c r="AE457" s="259"/>
      <c r="AF457" s="259"/>
      <c r="AG457" s="259"/>
      <c r="AH457" s="259"/>
      <c r="AI457" s="259"/>
      <c r="AJ457" s="265"/>
      <c r="AK457" s="266"/>
      <c r="AL457" s="266"/>
      <c r="AM457" s="266"/>
      <c r="AN457" s="266"/>
      <c r="AO457" s="267"/>
      <c r="AP457" s="266"/>
      <c r="AQ457" s="266"/>
      <c r="AR457" s="266"/>
      <c r="AS457" s="266"/>
      <c r="AT457" s="266"/>
      <c r="AU457" s="267"/>
    </row>
    <row r="458" spans="1:47" ht="18" customHeight="1" x14ac:dyDescent="0.35">
      <c r="A458" s="274">
        <f>MATCH(B458,STUDIES!$A$3:$A$502,0)</f>
        <v>38</v>
      </c>
      <c r="B458" s="256" t="s">
        <v>900</v>
      </c>
      <c r="C458" s="458"/>
      <c r="D458" s="278" t="s">
        <v>1056</v>
      </c>
      <c r="E458" s="256" t="s">
        <v>153</v>
      </c>
      <c r="F458" s="155" t="str">
        <f>_xlfn.XLOOKUP(B458,STUDIES!$A$3:$A$1063,STUDIES!$G$3:$G$1063,"Not Found!")</f>
        <v>A</v>
      </c>
      <c r="G458" s="257" t="s">
        <v>147</v>
      </c>
      <c r="H458" s="257">
        <v>16</v>
      </c>
      <c r="I458" s="257">
        <v>224</v>
      </c>
      <c r="J458" s="258"/>
      <c r="K458" s="259"/>
      <c r="L458" s="259"/>
      <c r="M458" s="259"/>
      <c r="N458" s="259"/>
      <c r="O458" s="259"/>
      <c r="P458" s="259"/>
      <c r="Q458" s="279" t="s">
        <v>90</v>
      </c>
      <c r="R458" s="289">
        <v>-11.6</v>
      </c>
      <c r="S458" s="263">
        <v>0.5</v>
      </c>
      <c r="T458" s="259"/>
      <c r="U458" s="259"/>
      <c r="V458" s="259"/>
      <c r="W458" s="259"/>
      <c r="X458" s="264"/>
      <c r="Y458" s="259"/>
      <c r="Z458" s="259"/>
      <c r="AA458" s="259"/>
      <c r="AB458" s="259"/>
      <c r="AC458" s="259"/>
      <c r="AD458" s="264"/>
      <c r="AE458" s="259"/>
      <c r="AF458" s="259"/>
      <c r="AG458" s="259"/>
      <c r="AH458" s="259"/>
      <c r="AI458" s="259"/>
      <c r="AJ458" s="265"/>
      <c r="AK458" s="266"/>
      <c r="AL458" s="266"/>
      <c r="AM458" s="266"/>
      <c r="AN458" s="266"/>
      <c r="AO458" s="267"/>
      <c r="AP458" s="266"/>
      <c r="AQ458" s="266"/>
      <c r="AR458" s="266"/>
      <c r="AS458" s="266"/>
      <c r="AT458" s="266"/>
      <c r="AU458" s="267"/>
    </row>
    <row r="459" spans="1:47" ht="18" customHeight="1" x14ac:dyDescent="0.35">
      <c r="A459" s="274">
        <f>MATCH(B459,STUDIES!$A$3:$A$502,0)</f>
        <v>38</v>
      </c>
      <c r="B459" s="256" t="s">
        <v>900</v>
      </c>
      <c r="C459" s="458"/>
      <c r="D459" s="278" t="s">
        <v>148</v>
      </c>
      <c r="E459" s="256" t="s">
        <v>154</v>
      </c>
      <c r="F459" s="155" t="str">
        <f>_xlfn.XLOOKUP(B459,STUDIES!$A$3:$A$1063,STUDIES!$G$3:$G$1063,"Not Found!")</f>
        <v>A</v>
      </c>
      <c r="G459" s="257" t="s">
        <v>147</v>
      </c>
      <c r="H459" s="257">
        <v>16</v>
      </c>
      <c r="I459" s="257">
        <v>224</v>
      </c>
      <c r="J459" s="258"/>
      <c r="K459" s="259"/>
      <c r="L459" s="259"/>
      <c r="M459" s="259"/>
      <c r="N459" s="259"/>
      <c r="O459" s="259"/>
      <c r="P459" s="259"/>
      <c r="Q459" s="279" t="s">
        <v>90</v>
      </c>
      <c r="R459" s="289">
        <v>-5.3</v>
      </c>
      <c r="S459" s="263">
        <v>0.5</v>
      </c>
      <c r="T459" s="259"/>
      <c r="U459" s="259"/>
      <c r="V459" s="259"/>
      <c r="W459" s="259"/>
      <c r="X459" s="264"/>
      <c r="Y459" s="259"/>
      <c r="Z459" s="259"/>
      <c r="AA459" s="259"/>
      <c r="AB459" s="259"/>
      <c r="AC459" s="259"/>
      <c r="AD459" s="264"/>
      <c r="AE459" s="259"/>
      <c r="AF459" s="259"/>
      <c r="AG459" s="259"/>
      <c r="AH459" s="259"/>
      <c r="AI459" s="259"/>
      <c r="AJ459" s="265"/>
      <c r="AK459" s="266"/>
      <c r="AL459" s="266"/>
      <c r="AM459" s="266"/>
      <c r="AN459" s="266"/>
      <c r="AO459" s="267"/>
      <c r="AP459" s="266"/>
      <c r="AQ459" s="266"/>
      <c r="AR459" s="266"/>
      <c r="AS459" s="266"/>
      <c r="AT459" s="266"/>
      <c r="AU459" s="267"/>
    </row>
    <row r="460" spans="1:47" ht="18" customHeight="1" x14ac:dyDescent="0.35">
      <c r="A460" s="274">
        <f>MATCH(B460,STUDIES!$A$3:$A$502,0)</f>
        <v>38</v>
      </c>
      <c r="B460" s="256" t="s">
        <v>900</v>
      </c>
      <c r="C460" s="458"/>
      <c r="D460" s="278" t="s">
        <v>148</v>
      </c>
      <c r="E460" s="256" t="s">
        <v>151</v>
      </c>
      <c r="F460" s="155" t="str">
        <f>_xlfn.XLOOKUP(B460,STUDIES!$A$3:$A$1063,STUDIES!$G$3:$G$1063,"Not Found!")</f>
        <v>A</v>
      </c>
      <c r="G460" s="257" t="s">
        <v>147</v>
      </c>
      <c r="H460" s="257">
        <v>16</v>
      </c>
      <c r="I460" s="257">
        <v>224</v>
      </c>
      <c r="J460" s="258"/>
      <c r="K460" s="259">
        <v>34.5</v>
      </c>
      <c r="L460" s="259"/>
      <c r="M460" s="259">
        <v>14.47</v>
      </c>
      <c r="N460" s="259"/>
      <c r="O460" s="259"/>
      <c r="P460" s="259"/>
      <c r="Q460" s="290" t="s">
        <v>92</v>
      </c>
      <c r="R460" s="280"/>
      <c r="S460" s="263"/>
      <c r="T460" s="259"/>
      <c r="U460" s="259"/>
      <c r="V460" s="259"/>
      <c r="W460" s="259"/>
      <c r="X460" s="264"/>
      <c r="Y460" s="259"/>
      <c r="Z460" s="259"/>
      <c r="AA460" s="259"/>
      <c r="AB460" s="259"/>
      <c r="AC460" s="259"/>
      <c r="AD460" s="264"/>
      <c r="AE460" s="259"/>
      <c r="AF460" s="259"/>
      <c r="AG460" s="259"/>
      <c r="AH460" s="259"/>
      <c r="AI460" s="259"/>
      <c r="AJ460" s="265">
        <v>-37.6</v>
      </c>
      <c r="AK460" s="266">
        <v>3.3</v>
      </c>
      <c r="AL460" s="266"/>
      <c r="AM460" s="266"/>
      <c r="AN460" s="266"/>
      <c r="AO460" s="267"/>
      <c r="AP460" s="266"/>
      <c r="AQ460" s="266"/>
      <c r="AR460" s="266"/>
      <c r="AS460" s="266"/>
      <c r="AT460" s="266"/>
      <c r="AU460" s="267"/>
    </row>
    <row r="461" spans="1:47" ht="18" customHeight="1" x14ac:dyDescent="0.35">
      <c r="A461" s="274">
        <f>MATCH(B461,STUDIES!$A$3:$A$502,0)</f>
        <v>38</v>
      </c>
      <c r="B461" s="256" t="s">
        <v>900</v>
      </c>
      <c r="C461" s="458"/>
      <c r="D461" s="278" t="s">
        <v>148</v>
      </c>
      <c r="E461" s="270" t="s">
        <v>289</v>
      </c>
      <c r="F461" s="155" t="str">
        <f>_xlfn.XLOOKUP(B461,STUDIES!$A$3:$A$1063,STUDIES!$G$3:$G$1063,"Not Found!")</f>
        <v>A</v>
      </c>
      <c r="G461" s="257" t="s">
        <v>147</v>
      </c>
      <c r="H461" s="257">
        <v>16</v>
      </c>
      <c r="I461" s="257">
        <v>224</v>
      </c>
      <c r="J461" s="258"/>
      <c r="K461" s="259"/>
      <c r="L461" s="259"/>
      <c r="M461" s="259"/>
      <c r="N461" s="259"/>
      <c r="O461" s="259"/>
      <c r="P461" s="259"/>
      <c r="Q461" s="279" t="s">
        <v>90</v>
      </c>
      <c r="R461" s="289">
        <v>-2.0299999999999998</v>
      </c>
      <c r="S461" s="263">
        <v>0.21</v>
      </c>
      <c r="T461" s="259"/>
      <c r="U461" s="259"/>
      <c r="V461" s="259"/>
      <c r="W461" s="259"/>
      <c r="X461" s="264"/>
      <c r="Y461" s="259"/>
      <c r="Z461" s="259"/>
      <c r="AA461" s="259"/>
      <c r="AB461" s="259"/>
      <c r="AC461" s="259"/>
      <c r="AD461" s="264"/>
      <c r="AE461" s="259"/>
      <c r="AF461" s="259"/>
      <c r="AG461" s="259"/>
      <c r="AH461" s="259"/>
      <c r="AI461" s="259"/>
      <c r="AJ461" s="265"/>
      <c r="AK461" s="266"/>
      <c r="AL461" s="266"/>
      <c r="AM461" s="266"/>
      <c r="AN461" s="266"/>
      <c r="AO461" s="267"/>
      <c r="AP461" s="266"/>
      <c r="AQ461" s="266"/>
      <c r="AR461" s="266"/>
      <c r="AS461" s="266"/>
      <c r="AT461" s="266"/>
      <c r="AU461" s="267"/>
    </row>
    <row r="462" spans="1:47" ht="18" customHeight="1" x14ac:dyDescent="0.35">
      <c r="A462" s="274">
        <f>MATCH(B462,STUDIES!$A$3:$A$502,0)</f>
        <v>38</v>
      </c>
      <c r="B462" s="256" t="s">
        <v>900</v>
      </c>
      <c r="C462" s="458"/>
      <c r="D462" s="278" t="s">
        <v>148</v>
      </c>
      <c r="E462" s="256" t="s">
        <v>153</v>
      </c>
      <c r="F462" s="155" t="str">
        <f>_xlfn.XLOOKUP(B462,STUDIES!$A$3:$A$1063,STUDIES!$G$3:$G$1063,"Not Found!")</f>
        <v>A</v>
      </c>
      <c r="G462" s="257" t="s">
        <v>147</v>
      </c>
      <c r="H462" s="257">
        <v>16</v>
      </c>
      <c r="I462" s="257">
        <v>224</v>
      </c>
      <c r="J462" s="258"/>
      <c r="K462" s="259"/>
      <c r="L462" s="259"/>
      <c r="M462" s="259"/>
      <c r="N462" s="259"/>
      <c r="O462" s="259"/>
      <c r="P462" s="259"/>
      <c r="Q462" s="279" t="s">
        <v>90</v>
      </c>
      <c r="R462" s="289">
        <v>-5.0999999999999996</v>
      </c>
      <c r="S462" s="263">
        <v>0.7</v>
      </c>
      <c r="T462" s="259"/>
      <c r="U462" s="259"/>
      <c r="V462" s="259"/>
      <c r="W462" s="259"/>
      <c r="X462" s="264"/>
      <c r="Y462" s="259"/>
      <c r="Z462" s="259"/>
      <c r="AA462" s="259"/>
      <c r="AB462" s="259"/>
      <c r="AC462" s="259"/>
      <c r="AD462" s="264"/>
      <c r="AE462" s="259"/>
      <c r="AF462" s="259"/>
      <c r="AG462" s="259"/>
      <c r="AH462" s="259"/>
      <c r="AI462" s="259"/>
      <c r="AJ462" s="265"/>
      <c r="AK462" s="266"/>
      <c r="AL462" s="266"/>
      <c r="AM462" s="266"/>
      <c r="AN462" s="266"/>
      <c r="AO462" s="267"/>
      <c r="AP462" s="266"/>
      <c r="AQ462" s="266"/>
      <c r="AR462" s="266"/>
      <c r="AS462" s="266"/>
      <c r="AT462" s="266"/>
      <c r="AU462" s="267"/>
    </row>
    <row r="463" spans="1:47" ht="18" customHeight="1" x14ac:dyDescent="0.35">
      <c r="A463" s="274">
        <f>MATCH(B463,STUDIES!$A$3:$A$502,0)</f>
        <v>38</v>
      </c>
      <c r="B463" s="256" t="s">
        <v>900</v>
      </c>
      <c r="C463" s="458"/>
      <c r="D463" s="269" t="s">
        <v>1059</v>
      </c>
      <c r="E463" s="272" t="s">
        <v>1163</v>
      </c>
      <c r="F463" s="155" t="str">
        <f>_xlfn.XLOOKUP(B463,STUDIES!$A$3:$A$1063,STUDIES!$G$3:$G$1063,"Not Found!")</f>
        <v>A</v>
      </c>
      <c r="G463" s="273" t="s">
        <v>147</v>
      </c>
      <c r="H463" s="273">
        <v>16</v>
      </c>
      <c r="I463" s="273">
        <v>218</v>
      </c>
      <c r="J463" s="274">
        <v>2</v>
      </c>
    </row>
    <row r="464" spans="1:47" ht="18" customHeight="1" x14ac:dyDescent="0.35">
      <c r="A464" s="274">
        <f>MATCH(B464,STUDIES!$A$3:$A$502,0)</f>
        <v>38</v>
      </c>
      <c r="B464" s="256" t="s">
        <v>900</v>
      </c>
      <c r="C464" s="458"/>
      <c r="D464" s="278" t="s">
        <v>1056</v>
      </c>
      <c r="E464" s="272" t="s">
        <v>1163</v>
      </c>
      <c r="F464" s="155" t="str">
        <f>_xlfn.XLOOKUP(B464,STUDIES!$A$3:$A$1063,STUDIES!$G$3:$G$1063,"Not Found!")</f>
        <v>A</v>
      </c>
      <c r="G464" s="273" t="s">
        <v>147</v>
      </c>
      <c r="H464" s="273">
        <v>16</v>
      </c>
      <c r="I464" s="273">
        <v>229</v>
      </c>
      <c r="J464" s="274">
        <v>7</v>
      </c>
    </row>
    <row r="465" spans="1:47" ht="18" customHeight="1" x14ac:dyDescent="0.35">
      <c r="A465" s="274">
        <f>MATCH(B465,STUDIES!$A$3:$A$502,0)</f>
        <v>38</v>
      </c>
      <c r="B465" s="272" t="s">
        <v>900</v>
      </c>
      <c r="D465" s="281" t="s">
        <v>148</v>
      </c>
      <c r="E465" s="272" t="s">
        <v>1163</v>
      </c>
      <c r="F465" s="155" t="str">
        <f>_xlfn.XLOOKUP(B465,STUDIES!$A$3:$A$1063,STUDIES!$G$3:$G$1063,"Not Found!")</f>
        <v>A</v>
      </c>
      <c r="G465" s="273" t="s">
        <v>147</v>
      </c>
      <c r="H465" s="273">
        <v>16</v>
      </c>
      <c r="I465" s="273">
        <v>222</v>
      </c>
      <c r="J465" s="274">
        <v>11</v>
      </c>
    </row>
    <row r="466" spans="1:47" ht="18" customHeight="1" x14ac:dyDescent="0.35">
      <c r="A466" s="274">
        <f>MATCH(B466,STUDIES!$A$3:$A$502,0)</f>
        <v>38</v>
      </c>
      <c r="B466" s="256" t="s">
        <v>900</v>
      </c>
      <c r="C466" s="458"/>
      <c r="D466" s="281" t="s">
        <v>1059</v>
      </c>
      <c r="E466" s="272" t="s">
        <v>1167</v>
      </c>
      <c r="F466" s="155" t="str">
        <f>_xlfn.XLOOKUP(B466,STUDIES!$A$3:$A$1063,STUDIES!$G$3:$G$1063,"Not Found!")</f>
        <v>A</v>
      </c>
      <c r="G466" s="273" t="s">
        <v>147</v>
      </c>
      <c r="H466" s="273">
        <v>16</v>
      </c>
      <c r="I466" s="273">
        <v>218</v>
      </c>
      <c r="J466" s="274">
        <v>4</v>
      </c>
    </row>
    <row r="467" spans="1:47" ht="18" customHeight="1" x14ac:dyDescent="0.35">
      <c r="A467" s="274">
        <f>MATCH(B467,STUDIES!$A$3:$A$502,0)</f>
        <v>38</v>
      </c>
      <c r="B467" s="256" t="s">
        <v>900</v>
      </c>
      <c r="C467" s="458"/>
      <c r="D467" s="281" t="s">
        <v>1056</v>
      </c>
      <c r="E467" s="272" t="s">
        <v>1167</v>
      </c>
      <c r="F467" s="155" t="str">
        <f>_xlfn.XLOOKUP(B467,STUDIES!$A$3:$A$1063,STUDIES!$G$3:$G$1063,"Not Found!")</f>
        <v>A</v>
      </c>
      <c r="G467" s="273" t="s">
        <v>147</v>
      </c>
      <c r="H467" s="273">
        <v>16</v>
      </c>
      <c r="I467" s="273">
        <v>229</v>
      </c>
      <c r="J467" s="274">
        <v>4</v>
      </c>
    </row>
    <row r="468" spans="1:47" ht="18" customHeight="1" x14ac:dyDescent="0.35">
      <c r="A468" s="274">
        <f>MATCH(B468,STUDIES!$A$3:$A$502,0)</f>
        <v>38</v>
      </c>
      <c r="B468" s="272" t="s">
        <v>900</v>
      </c>
      <c r="D468" s="281" t="s">
        <v>148</v>
      </c>
      <c r="E468" s="272" t="s">
        <v>1167</v>
      </c>
      <c r="F468" s="155" t="str">
        <f>_xlfn.XLOOKUP(B468,STUDIES!$A$3:$A$1063,STUDIES!$G$3:$G$1063,"Not Found!")</f>
        <v>A</v>
      </c>
      <c r="G468" s="273" t="s">
        <v>147</v>
      </c>
      <c r="H468" s="273">
        <v>16</v>
      </c>
      <c r="I468" s="273">
        <v>222</v>
      </c>
      <c r="J468" s="274">
        <v>2</v>
      </c>
    </row>
    <row r="469" spans="1:47" ht="18" customHeight="1" x14ac:dyDescent="0.35">
      <c r="A469" s="274">
        <f>MATCH(B469,STUDIES!$A$3:$A$502,0)</f>
        <v>39</v>
      </c>
      <c r="B469" s="256" t="s">
        <v>358</v>
      </c>
      <c r="C469" s="458"/>
      <c r="D469" s="269" t="s">
        <v>1059</v>
      </c>
      <c r="E469" s="256" t="s">
        <v>154</v>
      </c>
      <c r="F469" s="155" t="str">
        <f>_xlfn.XLOOKUP(B469,STUDIES!$A$3:$A$1063,STUDIES!$G$3:$G$1063,"Not Found!")</f>
        <v>A</v>
      </c>
      <c r="G469" s="257" t="s">
        <v>147</v>
      </c>
      <c r="H469" s="257">
        <v>16</v>
      </c>
      <c r="I469" s="257">
        <v>239</v>
      </c>
      <c r="J469" s="258"/>
      <c r="K469" s="259"/>
      <c r="L469" s="259"/>
      <c r="M469" s="259"/>
      <c r="N469" s="259"/>
      <c r="O469" s="259"/>
      <c r="P469" s="259"/>
      <c r="Q469" s="279" t="s">
        <v>90</v>
      </c>
      <c r="R469" s="289">
        <v>-9.5</v>
      </c>
      <c r="S469" s="263">
        <v>0.4</v>
      </c>
      <c r="T469" s="259"/>
      <c r="U469" s="259"/>
      <c r="V469" s="259"/>
      <c r="W469" s="259"/>
      <c r="X469" s="264"/>
      <c r="Y469" s="259"/>
      <c r="Z469" s="259"/>
      <c r="AA469" s="259"/>
      <c r="AB469" s="259"/>
      <c r="AC469" s="259"/>
      <c r="AD469" s="264"/>
      <c r="AE469" s="259"/>
      <c r="AF469" s="259"/>
      <c r="AG469" s="259"/>
      <c r="AH469" s="259"/>
      <c r="AI469" s="259"/>
      <c r="AJ469" s="265"/>
      <c r="AK469" s="266"/>
      <c r="AL469" s="266"/>
      <c r="AM469" s="266"/>
      <c r="AN469" s="266"/>
      <c r="AO469" s="267"/>
      <c r="AP469" s="266"/>
      <c r="AQ469" s="266"/>
      <c r="AR469" s="266"/>
      <c r="AS469" s="266"/>
      <c r="AT469" s="266"/>
      <c r="AU469" s="267"/>
    </row>
    <row r="470" spans="1:47" ht="18" customHeight="1" x14ac:dyDescent="0.35">
      <c r="A470" s="274">
        <f>MATCH(B470,STUDIES!$A$3:$A$502,0)</f>
        <v>39</v>
      </c>
      <c r="B470" s="256" t="s">
        <v>358</v>
      </c>
      <c r="C470" s="458"/>
      <c r="D470" s="269" t="s">
        <v>1059</v>
      </c>
      <c r="E470" s="256" t="s">
        <v>151</v>
      </c>
      <c r="F470" s="155" t="str">
        <f>_xlfn.XLOOKUP(B470,STUDIES!$A$3:$A$1063,STUDIES!$G$3:$G$1063,"Not Found!")</f>
        <v>A</v>
      </c>
      <c r="G470" s="257" t="s">
        <v>147</v>
      </c>
      <c r="H470" s="257">
        <v>16</v>
      </c>
      <c r="I470" s="257">
        <v>239</v>
      </c>
      <c r="J470" s="258"/>
      <c r="K470" s="259">
        <v>31.9</v>
      </c>
      <c r="L470" s="259"/>
      <c r="M470" s="259">
        <v>12.7</v>
      </c>
      <c r="N470" s="259"/>
      <c r="O470" s="259"/>
      <c r="P470" s="259"/>
      <c r="Q470" s="290" t="s">
        <v>92</v>
      </c>
      <c r="R470" s="280"/>
      <c r="S470" s="319"/>
      <c r="T470" s="263"/>
      <c r="U470" s="263"/>
      <c r="V470" s="263"/>
      <c r="W470" s="263"/>
      <c r="X470" s="264"/>
      <c r="Y470" s="259"/>
      <c r="Z470" s="259"/>
      <c r="AA470" s="259"/>
      <c r="AB470" s="259"/>
      <c r="AC470" s="259"/>
      <c r="AD470" s="264"/>
      <c r="AE470" s="259"/>
      <c r="AF470" s="259"/>
      <c r="AG470" s="259"/>
      <c r="AH470" s="259"/>
      <c r="AI470" s="259"/>
      <c r="AJ470" s="265">
        <v>-69.099999999999994</v>
      </c>
      <c r="AK470" s="266">
        <v>2.5</v>
      </c>
      <c r="AL470" s="266"/>
      <c r="AM470" s="266"/>
      <c r="AN470" s="266"/>
      <c r="AO470" s="267"/>
      <c r="AP470" s="266"/>
      <c r="AQ470" s="266"/>
      <c r="AR470" s="266"/>
      <c r="AS470" s="266"/>
      <c r="AT470" s="266"/>
      <c r="AU470" s="267"/>
    </row>
    <row r="471" spans="1:47" ht="18" customHeight="1" x14ac:dyDescent="0.35">
      <c r="A471" s="274">
        <f>MATCH(B471,STUDIES!$A$3:$A$502,0)</f>
        <v>39</v>
      </c>
      <c r="B471" s="256" t="s">
        <v>358</v>
      </c>
      <c r="C471" s="458"/>
      <c r="D471" s="269" t="s">
        <v>1059</v>
      </c>
      <c r="E471" s="270" t="s">
        <v>289</v>
      </c>
      <c r="F471" s="155" t="str">
        <f>_xlfn.XLOOKUP(B471,STUDIES!$A$3:$A$1063,STUDIES!$G$3:$G$1063,"Not Found!")</f>
        <v>A</v>
      </c>
      <c r="G471" s="257" t="s">
        <v>147</v>
      </c>
      <c r="H471" s="257">
        <v>16</v>
      </c>
      <c r="I471" s="257">
        <v>239</v>
      </c>
      <c r="J471" s="258"/>
      <c r="K471" s="259"/>
      <c r="L471" s="259"/>
      <c r="M471" s="259"/>
      <c r="N471" s="259"/>
      <c r="O471" s="259"/>
      <c r="P471" s="259"/>
      <c r="Q471" s="279" t="s">
        <v>90</v>
      </c>
      <c r="R471" s="289">
        <v>-3.68</v>
      </c>
      <c r="S471" s="263">
        <v>0.16</v>
      </c>
      <c r="T471" s="259"/>
      <c r="U471" s="259"/>
      <c r="V471" s="259"/>
      <c r="W471" s="259"/>
      <c r="X471" s="264"/>
      <c r="Y471" s="259"/>
      <c r="Z471" s="259"/>
      <c r="AA471" s="259"/>
      <c r="AB471" s="259"/>
      <c r="AC471" s="259"/>
      <c r="AD471" s="264"/>
      <c r="AE471" s="259"/>
      <c r="AF471" s="259"/>
      <c r="AG471" s="259"/>
      <c r="AH471" s="259"/>
      <c r="AI471" s="259"/>
      <c r="AJ471" s="265"/>
      <c r="AK471" s="266"/>
      <c r="AL471" s="266"/>
      <c r="AM471" s="266"/>
      <c r="AN471" s="266"/>
      <c r="AO471" s="267"/>
      <c r="AP471" s="266"/>
      <c r="AQ471" s="266"/>
      <c r="AR471" s="266"/>
      <c r="AS471" s="266"/>
      <c r="AT471" s="266"/>
      <c r="AU471" s="267"/>
    </row>
    <row r="472" spans="1:47" ht="18" customHeight="1" x14ac:dyDescent="0.35">
      <c r="A472" s="274">
        <f>MATCH(B472,STUDIES!$A$3:$A$502,0)</f>
        <v>39</v>
      </c>
      <c r="B472" s="256" t="s">
        <v>358</v>
      </c>
      <c r="C472" s="458"/>
      <c r="D472" s="269" t="s">
        <v>1059</v>
      </c>
      <c r="E472" s="256" t="s">
        <v>153</v>
      </c>
      <c r="F472" s="155" t="str">
        <f>_xlfn.XLOOKUP(B472,STUDIES!$A$3:$A$1063,STUDIES!$G$3:$G$1063,"Not Found!")</f>
        <v>A</v>
      </c>
      <c r="G472" s="257" t="s">
        <v>147</v>
      </c>
      <c r="H472" s="257">
        <v>16</v>
      </c>
      <c r="I472" s="257">
        <v>239</v>
      </c>
      <c r="J472" s="258"/>
      <c r="K472" s="259"/>
      <c r="L472" s="259"/>
      <c r="M472" s="259"/>
      <c r="N472" s="259"/>
      <c r="O472" s="259"/>
      <c r="P472" s="259"/>
      <c r="Q472" s="279" t="s">
        <v>90</v>
      </c>
      <c r="R472" s="289">
        <v>-11.3</v>
      </c>
      <c r="S472" s="263">
        <v>0.5</v>
      </c>
      <c r="T472" s="259"/>
      <c r="U472" s="259"/>
      <c r="V472" s="259"/>
      <c r="W472" s="259"/>
      <c r="X472" s="264"/>
      <c r="Y472" s="259"/>
      <c r="Z472" s="259"/>
      <c r="AA472" s="259"/>
      <c r="AB472" s="259"/>
      <c r="AC472" s="259"/>
      <c r="AD472" s="264"/>
      <c r="AE472" s="259"/>
      <c r="AF472" s="259"/>
      <c r="AG472" s="259"/>
      <c r="AH472" s="259"/>
      <c r="AI472" s="259"/>
      <c r="AJ472" s="265"/>
      <c r="AK472" s="266"/>
      <c r="AL472" s="266"/>
      <c r="AM472" s="266"/>
      <c r="AN472" s="266"/>
      <c r="AO472" s="267"/>
      <c r="AP472" s="266"/>
      <c r="AQ472" s="266"/>
      <c r="AR472" s="266"/>
      <c r="AS472" s="266"/>
      <c r="AT472" s="266"/>
      <c r="AU472" s="267"/>
    </row>
    <row r="473" spans="1:47" ht="18" customHeight="1" x14ac:dyDescent="0.35">
      <c r="A473" s="274">
        <f>MATCH(B473,STUDIES!$A$3:$A$502,0)</f>
        <v>39</v>
      </c>
      <c r="B473" s="256" t="s">
        <v>358</v>
      </c>
      <c r="C473" s="458"/>
      <c r="D473" s="278" t="s">
        <v>1056</v>
      </c>
      <c r="E473" s="256" t="s">
        <v>154</v>
      </c>
      <c r="F473" s="155" t="str">
        <f>_xlfn.XLOOKUP(B473,STUDIES!$A$3:$A$1063,STUDIES!$G$3:$G$1063,"Not Found!")</f>
        <v>A</v>
      </c>
      <c r="G473" s="257" t="s">
        <v>147</v>
      </c>
      <c r="H473" s="257">
        <v>16</v>
      </c>
      <c r="I473" s="257">
        <v>233</v>
      </c>
      <c r="J473" s="258"/>
      <c r="K473" s="259"/>
      <c r="L473" s="259"/>
      <c r="M473" s="259"/>
      <c r="N473" s="259"/>
      <c r="O473" s="259"/>
      <c r="P473" s="259"/>
      <c r="Q473" s="279" t="s">
        <v>90</v>
      </c>
      <c r="R473" s="289">
        <v>-9.3000000000000007</v>
      </c>
      <c r="S473" s="263">
        <v>0.4</v>
      </c>
      <c r="T473" s="259"/>
      <c r="U473" s="259"/>
      <c r="V473" s="259"/>
      <c r="W473" s="259"/>
      <c r="X473" s="264"/>
      <c r="Y473" s="259"/>
      <c r="Z473" s="259"/>
      <c r="AA473" s="259"/>
      <c r="AB473" s="259"/>
      <c r="AC473" s="259"/>
      <c r="AD473" s="264"/>
      <c r="AE473" s="259"/>
      <c r="AF473" s="259"/>
      <c r="AG473" s="259"/>
      <c r="AH473" s="259"/>
      <c r="AI473" s="259"/>
      <c r="AJ473" s="265"/>
      <c r="AK473" s="266"/>
      <c r="AL473" s="266"/>
      <c r="AM473" s="266"/>
      <c r="AN473" s="266"/>
      <c r="AO473" s="267"/>
      <c r="AP473" s="266"/>
      <c r="AQ473" s="266"/>
      <c r="AR473" s="266"/>
      <c r="AS473" s="266"/>
      <c r="AT473" s="266"/>
      <c r="AU473" s="267"/>
    </row>
    <row r="474" spans="1:47" ht="18" customHeight="1" x14ac:dyDescent="0.35">
      <c r="A474" s="274">
        <f>MATCH(B474,STUDIES!$A$3:$A$502,0)</f>
        <v>39</v>
      </c>
      <c r="B474" s="256" t="s">
        <v>358</v>
      </c>
      <c r="C474" s="458"/>
      <c r="D474" s="278" t="s">
        <v>1056</v>
      </c>
      <c r="E474" s="256" t="s">
        <v>151</v>
      </c>
      <c r="F474" s="155" t="str">
        <f>_xlfn.XLOOKUP(B474,STUDIES!$A$3:$A$1063,STUDIES!$G$3:$G$1063,"Not Found!")</f>
        <v>A</v>
      </c>
      <c r="G474" s="257" t="s">
        <v>147</v>
      </c>
      <c r="H474" s="257">
        <v>16</v>
      </c>
      <c r="I474" s="257">
        <v>233</v>
      </c>
      <c r="J474" s="258"/>
      <c r="K474" s="259">
        <v>31.8</v>
      </c>
      <c r="L474" s="259"/>
      <c r="M474" s="259">
        <v>13.08</v>
      </c>
      <c r="N474" s="259"/>
      <c r="O474" s="259"/>
      <c r="P474" s="259"/>
      <c r="Q474" s="290" t="s">
        <v>92</v>
      </c>
      <c r="R474" s="280"/>
      <c r="S474" s="319"/>
      <c r="T474" s="259"/>
      <c r="U474" s="259"/>
      <c r="V474" s="259"/>
      <c r="W474" s="259"/>
      <c r="X474" s="264"/>
      <c r="Y474" s="259"/>
      <c r="Z474" s="259"/>
      <c r="AA474" s="259"/>
      <c r="AB474" s="259"/>
      <c r="AC474" s="259"/>
      <c r="AD474" s="264"/>
      <c r="AE474" s="259"/>
      <c r="AF474" s="259"/>
      <c r="AG474" s="259"/>
      <c r="AH474" s="259"/>
      <c r="AI474" s="259"/>
      <c r="AJ474" s="265">
        <v>-67.099999999999994</v>
      </c>
      <c r="AK474" s="266">
        <v>2.5</v>
      </c>
      <c r="AL474" s="266"/>
      <c r="AM474" s="266"/>
      <c r="AN474" s="266"/>
      <c r="AO474" s="267"/>
      <c r="AP474" s="266"/>
      <c r="AQ474" s="266"/>
      <c r="AR474" s="266"/>
      <c r="AS474" s="266"/>
      <c r="AT474" s="266"/>
      <c r="AU474" s="267"/>
    </row>
    <row r="475" spans="1:47" ht="18" customHeight="1" x14ac:dyDescent="0.35">
      <c r="A475" s="274">
        <f>MATCH(B475,STUDIES!$A$3:$A$502,0)</f>
        <v>39</v>
      </c>
      <c r="B475" s="256" t="s">
        <v>358</v>
      </c>
      <c r="C475" s="458"/>
      <c r="D475" s="278" t="s">
        <v>1056</v>
      </c>
      <c r="E475" s="270" t="s">
        <v>289</v>
      </c>
      <c r="F475" s="155" t="str">
        <f>_xlfn.XLOOKUP(B475,STUDIES!$A$3:$A$1063,STUDIES!$G$3:$G$1063,"Not Found!")</f>
        <v>A</v>
      </c>
      <c r="G475" s="257" t="s">
        <v>147</v>
      </c>
      <c r="H475" s="257">
        <v>16</v>
      </c>
      <c r="I475" s="257">
        <v>233</v>
      </c>
      <c r="J475" s="258"/>
      <c r="K475" s="259"/>
      <c r="L475" s="259"/>
      <c r="M475" s="259"/>
      <c r="N475" s="259"/>
      <c r="O475" s="259"/>
      <c r="P475" s="259"/>
      <c r="Q475" s="279" t="s">
        <v>90</v>
      </c>
      <c r="R475" s="289">
        <v>-3.3</v>
      </c>
      <c r="S475" s="263">
        <v>0.16</v>
      </c>
      <c r="T475" s="259"/>
      <c r="U475" s="259"/>
      <c r="V475" s="259"/>
      <c r="W475" s="259"/>
      <c r="X475" s="264"/>
      <c r="Y475" s="259"/>
      <c r="Z475" s="259"/>
      <c r="AA475" s="259"/>
      <c r="AB475" s="259"/>
      <c r="AC475" s="259"/>
      <c r="AD475" s="264"/>
      <c r="AE475" s="259"/>
      <c r="AF475" s="259"/>
      <c r="AG475" s="259"/>
      <c r="AH475" s="259"/>
      <c r="AI475" s="259"/>
      <c r="AJ475" s="265"/>
      <c r="AK475" s="266"/>
      <c r="AL475" s="266"/>
      <c r="AM475" s="266"/>
      <c r="AN475" s="266"/>
      <c r="AO475" s="267"/>
      <c r="AP475" s="266"/>
      <c r="AQ475" s="266"/>
      <c r="AR475" s="266"/>
      <c r="AS475" s="266"/>
      <c r="AT475" s="266"/>
      <c r="AU475" s="267"/>
    </row>
    <row r="476" spans="1:47" ht="18" customHeight="1" x14ac:dyDescent="0.35">
      <c r="A476" s="274">
        <f>MATCH(B476,STUDIES!$A$3:$A$502,0)</f>
        <v>39</v>
      </c>
      <c r="B476" s="256" t="s">
        <v>358</v>
      </c>
      <c r="C476" s="458"/>
      <c r="D476" s="278" t="s">
        <v>1056</v>
      </c>
      <c r="E476" s="256" t="s">
        <v>153</v>
      </c>
      <c r="F476" s="155" t="str">
        <f>_xlfn.XLOOKUP(B476,STUDIES!$A$3:$A$1063,STUDIES!$G$3:$G$1063,"Not Found!")</f>
        <v>A</v>
      </c>
      <c r="G476" s="257" t="s">
        <v>147</v>
      </c>
      <c r="H476" s="257">
        <v>16</v>
      </c>
      <c r="I476" s="257">
        <v>233</v>
      </c>
      <c r="J476" s="258"/>
      <c r="K476" s="259"/>
      <c r="L476" s="259"/>
      <c r="M476" s="259"/>
      <c r="N476" s="259"/>
      <c r="O476" s="259"/>
      <c r="P476" s="259"/>
      <c r="Q476" s="279" t="s">
        <v>90</v>
      </c>
      <c r="R476" s="289">
        <v>-10.199999999999999</v>
      </c>
      <c r="S476" s="263">
        <v>0.5</v>
      </c>
      <c r="T476" s="259"/>
      <c r="U476" s="259"/>
      <c r="V476" s="259"/>
      <c r="W476" s="259"/>
      <c r="X476" s="264"/>
      <c r="Y476" s="259"/>
      <c r="Z476" s="259"/>
      <c r="AA476" s="259"/>
      <c r="AB476" s="259"/>
      <c r="AC476" s="259"/>
      <c r="AD476" s="264"/>
      <c r="AE476" s="259"/>
      <c r="AF476" s="259"/>
      <c r="AG476" s="259"/>
      <c r="AH476" s="259"/>
      <c r="AI476" s="259"/>
      <c r="AJ476" s="265"/>
      <c r="AK476" s="266"/>
      <c r="AL476" s="266"/>
      <c r="AM476" s="266"/>
      <c r="AN476" s="266"/>
      <c r="AO476" s="267"/>
      <c r="AP476" s="266"/>
      <c r="AQ476" s="266"/>
      <c r="AR476" s="266"/>
      <c r="AS476" s="266"/>
      <c r="AT476" s="266"/>
      <c r="AU476" s="267"/>
    </row>
    <row r="477" spans="1:47" ht="18" customHeight="1" x14ac:dyDescent="0.35">
      <c r="A477" s="274">
        <f>MATCH(B477,STUDIES!$A$3:$A$502,0)</f>
        <v>39</v>
      </c>
      <c r="B477" s="256" t="s">
        <v>358</v>
      </c>
      <c r="C477" s="458"/>
      <c r="D477" s="278" t="s">
        <v>148</v>
      </c>
      <c r="E477" s="256" t="s">
        <v>154</v>
      </c>
      <c r="F477" s="155" t="str">
        <f>_xlfn.XLOOKUP(B477,STUDIES!$A$3:$A$1063,STUDIES!$G$3:$G$1063,"Not Found!")</f>
        <v>A</v>
      </c>
      <c r="G477" s="257" t="s">
        <v>147</v>
      </c>
      <c r="H477" s="257">
        <v>16</v>
      </c>
      <c r="I477" s="257">
        <v>236</v>
      </c>
      <c r="J477" s="258"/>
      <c r="K477" s="259"/>
      <c r="L477" s="259"/>
      <c r="M477" s="259"/>
      <c r="N477" s="259"/>
      <c r="O477" s="259"/>
      <c r="P477" s="259"/>
      <c r="Q477" s="279" t="s">
        <v>90</v>
      </c>
      <c r="R477" s="289">
        <v>-3.6</v>
      </c>
      <c r="S477" s="263">
        <v>0.5</v>
      </c>
      <c r="T477" s="259"/>
      <c r="U477" s="259"/>
      <c r="V477" s="259"/>
      <c r="W477" s="259"/>
      <c r="X477" s="264"/>
      <c r="Y477" s="259"/>
      <c r="Z477" s="259"/>
      <c r="AA477" s="259"/>
      <c r="AB477" s="259"/>
      <c r="AC477" s="259"/>
      <c r="AD477" s="264"/>
      <c r="AE477" s="259"/>
      <c r="AF477" s="259"/>
      <c r="AG477" s="259"/>
      <c r="AH477" s="259"/>
      <c r="AI477" s="259"/>
      <c r="AJ477" s="265"/>
      <c r="AK477" s="266"/>
      <c r="AL477" s="266"/>
      <c r="AM477" s="266"/>
      <c r="AN477" s="266"/>
      <c r="AO477" s="267"/>
      <c r="AP477" s="266"/>
      <c r="AQ477" s="266"/>
      <c r="AR477" s="266"/>
      <c r="AS477" s="266"/>
      <c r="AT477" s="266"/>
      <c r="AU477" s="267"/>
    </row>
    <row r="478" spans="1:47" ht="18" customHeight="1" x14ac:dyDescent="0.35">
      <c r="A478" s="274">
        <f>MATCH(B478,STUDIES!$A$3:$A$502,0)</f>
        <v>39</v>
      </c>
      <c r="B478" s="256" t="s">
        <v>358</v>
      </c>
      <c r="C478" s="458"/>
      <c r="D478" s="278" t="s">
        <v>148</v>
      </c>
      <c r="E478" s="256" t="s">
        <v>151</v>
      </c>
      <c r="F478" s="155" t="str">
        <f>_xlfn.XLOOKUP(B478,STUDIES!$A$3:$A$1063,STUDIES!$G$3:$G$1063,"Not Found!")</f>
        <v>A</v>
      </c>
      <c r="G478" s="257" t="s">
        <v>147</v>
      </c>
      <c r="H478" s="257">
        <v>16</v>
      </c>
      <c r="I478" s="257">
        <v>236</v>
      </c>
      <c r="J478" s="258"/>
      <c r="K478" s="259">
        <v>33.6</v>
      </c>
      <c r="L478" s="259"/>
      <c r="M478" s="259">
        <v>14.31</v>
      </c>
      <c r="N478" s="259"/>
      <c r="O478" s="259"/>
      <c r="P478" s="259"/>
      <c r="Q478" s="290" t="s">
        <v>92</v>
      </c>
      <c r="R478" s="280"/>
      <c r="S478" s="319"/>
      <c r="T478" s="259"/>
      <c r="U478" s="259"/>
      <c r="V478" s="259"/>
      <c r="W478" s="259"/>
      <c r="X478" s="264"/>
      <c r="Y478" s="259"/>
      <c r="Z478" s="259"/>
      <c r="AA478" s="259"/>
      <c r="AB478" s="259"/>
      <c r="AC478" s="259"/>
      <c r="AD478" s="264"/>
      <c r="AE478" s="259"/>
      <c r="AF478" s="259"/>
      <c r="AG478" s="259"/>
      <c r="AH478" s="259"/>
      <c r="AI478" s="259"/>
      <c r="AJ478" s="265">
        <v>-30.9</v>
      </c>
      <c r="AK478" s="266">
        <v>3</v>
      </c>
      <c r="AL478" s="266"/>
      <c r="AM478" s="266"/>
      <c r="AN478" s="266"/>
      <c r="AO478" s="267"/>
      <c r="AP478" s="266"/>
      <c r="AQ478" s="266"/>
      <c r="AR478" s="266"/>
      <c r="AS478" s="266"/>
      <c r="AT478" s="266"/>
      <c r="AU478" s="267"/>
    </row>
    <row r="479" spans="1:47" ht="18" customHeight="1" x14ac:dyDescent="0.35">
      <c r="A479" s="274">
        <f>MATCH(B479,STUDIES!$A$3:$A$502,0)</f>
        <v>39</v>
      </c>
      <c r="B479" s="256" t="s">
        <v>358</v>
      </c>
      <c r="C479" s="458"/>
      <c r="D479" s="278" t="s">
        <v>148</v>
      </c>
      <c r="E479" s="270" t="s">
        <v>289</v>
      </c>
      <c r="F479" s="155" t="str">
        <f>_xlfn.XLOOKUP(B479,STUDIES!$A$3:$A$1063,STUDIES!$G$3:$G$1063,"Not Found!")</f>
        <v>A</v>
      </c>
      <c r="G479" s="257" t="s">
        <v>147</v>
      </c>
      <c r="H479" s="257">
        <v>16</v>
      </c>
      <c r="I479" s="257">
        <v>236</v>
      </c>
      <c r="J479" s="258"/>
      <c r="K479" s="259"/>
      <c r="L479" s="259"/>
      <c r="M479" s="259"/>
      <c r="N479" s="259"/>
      <c r="O479" s="259"/>
      <c r="P479" s="259"/>
      <c r="Q479" s="279" t="s">
        <v>90</v>
      </c>
      <c r="R479" s="289">
        <v>-1.21</v>
      </c>
      <c r="S479" s="263">
        <v>0.22</v>
      </c>
      <c r="T479" s="259"/>
      <c r="U479" s="259"/>
      <c r="V479" s="259"/>
      <c r="W479" s="259"/>
      <c r="X479" s="264"/>
      <c r="Y479" s="259"/>
      <c r="Z479" s="259"/>
      <c r="AA479" s="259"/>
      <c r="AB479" s="259"/>
      <c r="AC479" s="259"/>
      <c r="AD479" s="264"/>
      <c r="AE479" s="259"/>
      <c r="AF479" s="259"/>
      <c r="AG479" s="259"/>
      <c r="AH479" s="259"/>
      <c r="AI479" s="259"/>
      <c r="AJ479" s="265"/>
      <c r="AK479" s="266"/>
      <c r="AL479" s="266"/>
      <c r="AM479" s="266"/>
      <c r="AN479" s="266"/>
      <c r="AO479" s="267"/>
      <c r="AP479" s="266"/>
      <c r="AQ479" s="266"/>
      <c r="AR479" s="266"/>
      <c r="AS479" s="266"/>
      <c r="AT479" s="266"/>
      <c r="AU479" s="267"/>
    </row>
    <row r="480" spans="1:47" ht="18" customHeight="1" x14ac:dyDescent="0.35">
      <c r="A480" s="274">
        <f>MATCH(B480,STUDIES!$A$3:$A$502,0)</f>
        <v>39</v>
      </c>
      <c r="B480" s="256" t="s">
        <v>358</v>
      </c>
      <c r="C480" s="458"/>
      <c r="D480" s="278" t="s">
        <v>148</v>
      </c>
      <c r="E480" s="256" t="s">
        <v>153</v>
      </c>
      <c r="F480" s="155" t="str">
        <f>_xlfn.XLOOKUP(B480,STUDIES!$A$3:$A$1063,STUDIES!$G$3:$G$1063,"Not Found!")</f>
        <v>A</v>
      </c>
      <c r="G480" s="257" t="s">
        <v>147</v>
      </c>
      <c r="H480" s="257">
        <v>16</v>
      </c>
      <c r="I480" s="257">
        <v>236</v>
      </c>
      <c r="J480" s="258"/>
      <c r="K480" s="259"/>
      <c r="L480" s="259"/>
      <c r="M480" s="259"/>
      <c r="N480" s="259"/>
      <c r="O480" s="259"/>
      <c r="P480" s="259"/>
      <c r="Q480" s="279" t="s">
        <v>90</v>
      </c>
      <c r="R480" s="289">
        <v>-3.3</v>
      </c>
      <c r="S480" s="263">
        <v>0.5</v>
      </c>
      <c r="T480" s="259"/>
      <c r="U480" s="259"/>
      <c r="V480" s="259"/>
      <c r="W480" s="259"/>
      <c r="X480" s="264"/>
      <c r="Y480" s="259"/>
      <c r="Z480" s="259"/>
      <c r="AA480" s="259"/>
      <c r="AB480" s="259"/>
      <c r="AC480" s="259"/>
      <c r="AD480" s="264"/>
      <c r="AE480" s="259"/>
      <c r="AF480" s="259"/>
      <c r="AG480" s="259"/>
      <c r="AH480" s="259"/>
      <c r="AI480" s="259"/>
      <c r="AJ480" s="265"/>
      <c r="AK480" s="266"/>
      <c r="AL480" s="266"/>
      <c r="AM480" s="266"/>
      <c r="AN480" s="266"/>
      <c r="AO480" s="267"/>
      <c r="AP480" s="266"/>
      <c r="AQ480" s="266"/>
      <c r="AR480" s="266"/>
      <c r="AS480" s="266"/>
      <c r="AT480" s="266"/>
      <c r="AU480" s="267"/>
    </row>
    <row r="481" spans="1:47" ht="18" customHeight="1" x14ac:dyDescent="0.35">
      <c r="A481" s="274">
        <f>MATCH(B481,STUDIES!$A$3:$A$502,0)</f>
        <v>39</v>
      </c>
      <c r="B481" s="272" t="s">
        <v>358</v>
      </c>
      <c r="D481" s="269" t="s">
        <v>1059</v>
      </c>
      <c r="E481" s="272" t="s">
        <v>1163</v>
      </c>
      <c r="F481" s="155" t="str">
        <f>_xlfn.XLOOKUP(B481,STUDIES!$A$3:$A$1063,STUDIES!$G$3:$G$1063,"Not Found!")</f>
        <v>A</v>
      </c>
      <c r="G481" s="273" t="s">
        <v>147</v>
      </c>
      <c r="H481" s="273">
        <v>16</v>
      </c>
      <c r="I481" s="273">
        <v>237</v>
      </c>
      <c r="J481" s="274">
        <v>8</v>
      </c>
    </row>
    <row r="482" spans="1:47" ht="18" customHeight="1" x14ac:dyDescent="0.35">
      <c r="A482" s="274">
        <f>MATCH(B482,STUDIES!$A$3:$A$502,0)</f>
        <v>39</v>
      </c>
      <c r="B482" s="272" t="s">
        <v>358</v>
      </c>
      <c r="D482" s="278" t="s">
        <v>1056</v>
      </c>
      <c r="E482" s="272" t="s">
        <v>1163</v>
      </c>
      <c r="F482" s="155" t="str">
        <f>_xlfn.XLOOKUP(B482,STUDIES!$A$3:$A$1063,STUDIES!$G$3:$G$1063,"Not Found!")</f>
        <v>A</v>
      </c>
      <c r="G482" s="273" t="s">
        <v>147</v>
      </c>
      <c r="H482" s="273">
        <v>16</v>
      </c>
      <c r="I482" s="273">
        <v>236</v>
      </c>
      <c r="J482" s="274">
        <v>4</v>
      </c>
    </row>
    <row r="483" spans="1:47" ht="18" customHeight="1" x14ac:dyDescent="0.35">
      <c r="A483" s="274">
        <f>MATCH(B483,STUDIES!$A$3:$A$502,0)</f>
        <v>39</v>
      </c>
      <c r="B483" s="272" t="s">
        <v>358</v>
      </c>
      <c r="D483" s="281" t="s">
        <v>148</v>
      </c>
      <c r="E483" s="272" t="s">
        <v>1163</v>
      </c>
      <c r="F483" s="155" t="str">
        <f>_xlfn.XLOOKUP(B483,STUDIES!$A$3:$A$1063,STUDIES!$G$3:$G$1063,"Not Found!")</f>
        <v>A</v>
      </c>
      <c r="G483" s="273" t="s">
        <v>147</v>
      </c>
      <c r="H483" s="273">
        <v>16</v>
      </c>
      <c r="I483" s="273">
        <v>234</v>
      </c>
      <c r="J483" s="274">
        <v>13</v>
      </c>
    </row>
    <row r="484" spans="1:47" ht="18" customHeight="1" x14ac:dyDescent="0.35">
      <c r="A484" s="274">
        <f>MATCH(B484,STUDIES!$A$3:$A$502,0)</f>
        <v>39</v>
      </c>
      <c r="B484" s="272" t="s">
        <v>358</v>
      </c>
      <c r="D484" s="281" t="s">
        <v>1059</v>
      </c>
      <c r="E484" s="272" t="s">
        <v>1167</v>
      </c>
      <c r="F484" s="155" t="str">
        <f>_xlfn.XLOOKUP(B484,STUDIES!$A$3:$A$1063,STUDIES!$G$3:$G$1063,"Not Found!")</f>
        <v>A</v>
      </c>
      <c r="G484" s="273" t="s">
        <v>147</v>
      </c>
      <c r="H484" s="273">
        <v>16</v>
      </c>
      <c r="I484" s="273">
        <v>237</v>
      </c>
      <c r="J484" s="274">
        <v>3</v>
      </c>
    </row>
    <row r="485" spans="1:47" ht="18" customHeight="1" x14ac:dyDescent="0.35">
      <c r="A485" s="274">
        <f>MATCH(B485,STUDIES!$A$3:$A$502,0)</f>
        <v>39</v>
      </c>
      <c r="B485" s="272" t="s">
        <v>358</v>
      </c>
      <c r="D485" s="281" t="s">
        <v>1056</v>
      </c>
      <c r="E485" s="272" t="s">
        <v>1167</v>
      </c>
      <c r="F485" s="155" t="str">
        <f>_xlfn.XLOOKUP(B485,STUDIES!$A$3:$A$1063,STUDIES!$G$3:$G$1063,"Not Found!")</f>
        <v>A</v>
      </c>
      <c r="G485" s="273" t="s">
        <v>147</v>
      </c>
      <c r="H485" s="273">
        <v>16</v>
      </c>
      <c r="I485" s="273">
        <v>236</v>
      </c>
      <c r="J485" s="274">
        <v>2</v>
      </c>
    </row>
    <row r="486" spans="1:47" ht="18" customHeight="1" x14ac:dyDescent="0.35">
      <c r="A486" s="274">
        <f>MATCH(B486,STUDIES!$A$3:$A$502,0)</f>
        <v>39</v>
      </c>
      <c r="B486" s="272" t="s">
        <v>358</v>
      </c>
      <c r="D486" s="281" t="s">
        <v>148</v>
      </c>
      <c r="E486" s="272" t="s">
        <v>1167</v>
      </c>
      <c r="F486" s="155" t="str">
        <f>_xlfn.XLOOKUP(B486,STUDIES!$A$3:$A$1063,STUDIES!$G$3:$G$1063,"Not Found!")</f>
        <v>A</v>
      </c>
      <c r="G486" s="273" t="s">
        <v>147</v>
      </c>
      <c r="H486" s="273">
        <v>16</v>
      </c>
      <c r="I486" s="273">
        <v>234</v>
      </c>
      <c r="J486" s="274">
        <v>5</v>
      </c>
    </row>
    <row r="487" spans="1:47" ht="18" customHeight="1" x14ac:dyDescent="0.35">
      <c r="A487" s="274">
        <f>MATCH(B487,STUDIES!$A$3:$A$502,0)</f>
        <v>40</v>
      </c>
      <c r="B487" s="270" t="s">
        <v>243</v>
      </c>
      <c r="C487" s="459"/>
      <c r="D487" s="278" t="s">
        <v>1038</v>
      </c>
      <c r="E487" s="256" t="s">
        <v>151</v>
      </c>
      <c r="F487" s="155" t="str">
        <f>_xlfn.XLOOKUP(B487,STUDIES!$A$3:$A$1063,STUDIES!$G$3:$G$1063,"Not Found!")</f>
        <v>A</v>
      </c>
      <c r="G487" s="257" t="s">
        <v>147</v>
      </c>
      <c r="H487" s="257">
        <v>12</v>
      </c>
      <c r="I487" s="257">
        <v>58</v>
      </c>
      <c r="J487" s="258"/>
      <c r="K487" s="259">
        <v>24.2</v>
      </c>
      <c r="L487" s="259"/>
      <c r="M487" s="259"/>
      <c r="N487" s="259"/>
      <c r="O487" s="259"/>
      <c r="P487" s="259"/>
      <c r="Q487" s="279" t="s">
        <v>92</v>
      </c>
      <c r="R487" s="289"/>
      <c r="S487" s="259"/>
      <c r="T487" s="259"/>
      <c r="U487" s="259"/>
      <c r="V487" s="259"/>
      <c r="W487" s="259"/>
      <c r="X487" s="264"/>
      <c r="Y487" s="259"/>
      <c r="Z487" s="259"/>
      <c r="AA487" s="259"/>
      <c r="AB487" s="259"/>
      <c r="AC487" s="259"/>
      <c r="AD487" s="264"/>
      <c r="AE487" s="259"/>
      <c r="AF487" s="259"/>
      <c r="AG487" s="259"/>
      <c r="AH487" s="259"/>
      <c r="AI487" s="259"/>
      <c r="AJ487" s="265">
        <v>-25.99</v>
      </c>
      <c r="AK487" s="266">
        <v>7.1059999999999999</v>
      </c>
      <c r="AL487" s="266"/>
      <c r="AM487" s="266"/>
      <c r="AN487" s="266"/>
      <c r="AO487" s="267"/>
      <c r="AP487" s="266"/>
      <c r="AQ487" s="266"/>
      <c r="AR487" s="266"/>
      <c r="AS487" s="266"/>
      <c r="AT487" s="266"/>
      <c r="AU487" s="267"/>
    </row>
    <row r="488" spans="1:47" ht="18" customHeight="1" x14ac:dyDescent="0.35">
      <c r="A488" s="274">
        <f>MATCH(B488,STUDIES!$A$3:$A$502,0)</f>
        <v>40</v>
      </c>
      <c r="B488" s="270" t="s">
        <v>243</v>
      </c>
      <c r="C488" s="459"/>
      <c r="D488" s="269" t="s">
        <v>1038</v>
      </c>
      <c r="E488" s="256" t="s">
        <v>151</v>
      </c>
      <c r="F488" s="155" t="str">
        <f>_xlfn.XLOOKUP(B488,STUDIES!$A$3:$A$1063,STUDIES!$G$3:$G$1063,"Not Found!")</f>
        <v>A</v>
      </c>
      <c r="G488" s="257" t="s">
        <v>152</v>
      </c>
      <c r="H488" s="257">
        <v>24</v>
      </c>
      <c r="I488" s="303">
        <v>50</v>
      </c>
      <c r="J488" s="304"/>
      <c r="K488" s="259">
        <v>24.2</v>
      </c>
      <c r="L488" s="259"/>
      <c r="M488" s="259"/>
      <c r="N488" s="259"/>
      <c r="O488" s="259"/>
      <c r="P488" s="259"/>
      <c r="Q488" s="279" t="s">
        <v>92</v>
      </c>
      <c r="R488" s="324"/>
      <c r="S488" s="259"/>
      <c r="T488" s="259"/>
      <c r="U488" s="259"/>
      <c r="V488" s="259"/>
      <c r="W488" s="259"/>
      <c r="X488" s="264"/>
      <c r="Y488" s="259"/>
      <c r="Z488" s="259"/>
      <c r="AA488" s="259"/>
      <c r="AB488" s="259"/>
      <c r="AC488" s="259"/>
      <c r="AD488" s="264"/>
      <c r="AE488" s="259"/>
      <c r="AF488" s="259"/>
      <c r="AG488" s="259"/>
      <c r="AH488" s="259"/>
      <c r="AI488" s="259"/>
      <c r="AJ488" s="265">
        <v>-49.6</v>
      </c>
      <c r="AK488" s="266"/>
      <c r="AL488" s="266">
        <v>33.1</v>
      </c>
      <c r="AM488" s="266"/>
      <c r="AN488" s="266"/>
      <c r="AO488" s="267"/>
      <c r="AP488" s="266"/>
      <c r="AQ488" s="266"/>
      <c r="AR488" s="266"/>
      <c r="AS488" s="266"/>
      <c r="AT488" s="266"/>
      <c r="AU488" s="267"/>
    </row>
    <row r="489" spans="1:47" ht="18" customHeight="1" x14ac:dyDescent="0.35">
      <c r="A489" s="274">
        <f>MATCH(B489,STUDIES!$A$3:$A$502,0)</f>
        <v>40</v>
      </c>
      <c r="B489" s="272" t="s">
        <v>243</v>
      </c>
      <c r="D489" s="269" t="s">
        <v>1038</v>
      </c>
      <c r="E489" s="272" t="s">
        <v>1163</v>
      </c>
      <c r="F489" s="155" t="str">
        <f>_xlfn.XLOOKUP(B489,STUDIES!$A$3:$A$1063,STUDIES!$G$3:$G$1063,"Not Found!")</f>
        <v>A</v>
      </c>
      <c r="G489" s="273" t="s">
        <v>147</v>
      </c>
      <c r="H489" s="273">
        <v>12</v>
      </c>
      <c r="I489" s="273">
        <v>58</v>
      </c>
      <c r="J489" s="274">
        <v>1</v>
      </c>
    </row>
    <row r="490" spans="1:47" ht="18" customHeight="1" x14ac:dyDescent="0.35">
      <c r="A490" s="274">
        <f>MATCH(B490,STUDIES!$A$3:$A$502,0)</f>
        <v>40</v>
      </c>
      <c r="B490" s="272" t="s">
        <v>243</v>
      </c>
      <c r="D490" s="281" t="s">
        <v>1038</v>
      </c>
      <c r="E490" s="272" t="s">
        <v>1167</v>
      </c>
      <c r="F490" s="155" t="str">
        <f>_xlfn.XLOOKUP(B490,STUDIES!$A$3:$A$1063,STUDIES!$G$3:$G$1063,"Not Found!")</f>
        <v>A</v>
      </c>
      <c r="G490" s="273" t="s">
        <v>147</v>
      </c>
      <c r="H490" s="273">
        <v>12</v>
      </c>
      <c r="I490" s="273">
        <v>58</v>
      </c>
      <c r="J490" s="274">
        <v>2</v>
      </c>
    </row>
    <row r="491" spans="1:47" ht="18" customHeight="1" x14ac:dyDescent="0.35">
      <c r="A491" s="274">
        <f>MATCH(B491,STUDIES!$A$3:$A$502,0)</f>
        <v>40</v>
      </c>
      <c r="B491" s="270" t="s">
        <v>243</v>
      </c>
      <c r="C491" s="459"/>
      <c r="D491" s="278" t="s">
        <v>1037</v>
      </c>
      <c r="E491" s="256" t="s">
        <v>151</v>
      </c>
      <c r="F491" s="155" t="str">
        <f>_xlfn.XLOOKUP(B491,STUDIES!$A$3:$A$1063,STUDIES!$G$3:$G$1063,"Not Found!")</f>
        <v>A</v>
      </c>
      <c r="G491" s="257" t="s">
        <v>147</v>
      </c>
      <c r="H491" s="257">
        <v>12</v>
      </c>
      <c r="I491" s="257">
        <v>63</v>
      </c>
      <c r="J491" s="258"/>
      <c r="K491" s="259">
        <v>23.6</v>
      </c>
      <c r="L491" s="259"/>
      <c r="M491" s="259"/>
      <c r="N491" s="259"/>
      <c r="O491" s="259"/>
      <c r="P491" s="259"/>
      <c r="Q491" s="279" t="s">
        <v>92</v>
      </c>
      <c r="R491" s="289"/>
      <c r="S491" s="259"/>
      <c r="T491" s="259"/>
      <c r="U491" s="259"/>
      <c r="V491" s="259"/>
      <c r="W491" s="259"/>
      <c r="X491" s="264"/>
      <c r="Y491" s="259"/>
      <c r="Z491" s="259"/>
      <c r="AA491" s="259"/>
      <c r="AB491" s="259"/>
      <c r="AC491" s="259"/>
      <c r="AD491" s="264"/>
      <c r="AE491" s="259"/>
      <c r="AF491" s="259"/>
      <c r="AG491" s="259"/>
      <c r="AH491" s="259"/>
      <c r="AI491" s="259"/>
      <c r="AJ491" s="265">
        <v>-31.57</v>
      </c>
      <c r="AK491" s="266">
        <v>6.82</v>
      </c>
      <c r="AL491" s="266"/>
      <c r="AM491" s="266"/>
      <c r="AN491" s="266"/>
      <c r="AO491" s="267"/>
      <c r="AP491" s="266"/>
      <c r="AQ491" s="266"/>
      <c r="AR491" s="266"/>
      <c r="AS491" s="266"/>
      <c r="AT491" s="266"/>
      <c r="AU491" s="267"/>
    </row>
    <row r="492" spans="1:47" ht="18" customHeight="1" x14ac:dyDescent="0.35">
      <c r="A492" s="274">
        <f>MATCH(B492,STUDIES!$A$3:$A$502,0)</f>
        <v>40</v>
      </c>
      <c r="B492" s="270" t="s">
        <v>243</v>
      </c>
      <c r="C492" s="459"/>
      <c r="D492" s="269" t="s">
        <v>1037</v>
      </c>
      <c r="E492" s="256" t="s">
        <v>151</v>
      </c>
      <c r="F492" s="155" t="str">
        <f>_xlfn.XLOOKUP(B492,STUDIES!$A$3:$A$1063,STUDIES!$G$3:$G$1063,"Not Found!")</f>
        <v>A</v>
      </c>
      <c r="G492" s="257" t="s">
        <v>152</v>
      </c>
      <c r="H492" s="257">
        <v>24</v>
      </c>
      <c r="I492" s="303">
        <v>46</v>
      </c>
      <c r="J492" s="304"/>
      <c r="K492" s="259">
        <v>23.6</v>
      </c>
      <c r="L492" s="259"/>
      <c r="M492" s="259"/>
      <c r="N492" s="259"/>
      <c r="O492" s="259"/>
      <c r="P492" s="259"/>
      <c r="Q492" s="279" t="s">
        <v>92</v>
      </c>
      <c r="R492" s="324"/>
      <c r="S492" s="259"/>
      <c r="T492" s="259"/>
      <c r="U492" s="259"/>
      <c r="V492" s="259"/>
      <c r="W492" s="259"/>
      <c r="X492" s="264"/>
      <c r="Y492" s="259"/>
      <c r="Z492" s="259"/>
      <c r="AA492" s="259"/>
      <c r="AB492" s="259"/>
      <c r="AC492" s="259"/>
      <c r="AD492" s="264"/>
      <c r="AE492" s="259"/>
      <c r="AF492" s="259"/>
      <c r="AG492" s="259"/>
      <c r="AH492" s="259"/>
      <c r="AI492" s="259"/>
      <c r="AJ492" s="265">
        <v>-51.1</v>
      </c>
      <c r="AK492" s="266"/>
      <c r="AL492" s="266">
        <v>42.2</v>
      </c>
      <c r="AM492" s="266"/>
      <c r="AN492" s="266"/>
      <c r="AO492" s="267"/>
      <c r="AP492" s="266"/>
      <c r="AQ492" s="266"/>
      <c r="AR492" s="266"/>
      <c r="AS492" s="266"/>
      <c r="AT492" s="266"/>
      <c r="AU492" s="267"/>
    </row>
    <row r="493" spans="1:47" ht="18" customHeight="1" x14ac:dyDescent="0.35">
      <c r="A493" s="274">
        <f>MATCH(B493,STUDIES!$A$3:$A$502,0)</f>
        <v>40</v>
      </c>
      <c r="B493" s="272" t="s">
        <v>243</v>
      </c>
      <c r="D493" s="269" t="s">
        <v>1037</v>
      </c>
      <c r="E493" s="272" t="s">
        <v>1163</v>
      </c>
      <c r="F493" s="155" t="str">
        <f>_xlfn.XLOOKUP(B493,STUDIES!$A$3:$A$1063,STUDIES!$G$3:$G$1063,"Not Found!")</f>
        <v>A</v>
      </c>
      <c r="G493" s="273" t="s">
        <v>147</v>
      </c>
      <c r="H493" s="273">
        <v>12</v>
      </c>
      <c r="I493" s="273">
        <v>63</v>
      </c>
      <c r="J493" s="274">
        <v>2</v>
      </c>
    </row>
    <row r="494" spans="1:47" ht="18" customHeight="1" x14ac:dyDescent="0.35">
      <c r="A494" s="274">
        <f>MATCH(B494,STUDIES!$A$3:$A$502,0)</f>
        <v>40</v>
      </c>
      <c r="B494" s="272" t="s">
        <v>243</v>
      </c>
      <c r="D494" s="281" t="s">
        <v>1037</v>
      </c>
      <c r="E494" s="272" t="s">
        <v>1167</v>
      </c>
      <c r="F494" s="155" t="str">
        <f>_xlfn.XLOOKUP(B494,STUDIES!$A$3:$A$1063,STUDIES!$G$3:$G$1063,"Not Found!")</f>
        <v>A</v>
      </c>
      <c r="G494" s="273" t="s">
        <v>147</v>
      </c>
      <c r="H494" s="273">
        <v>12</v>
      </c>
      <c r="I494" s="273">
        <v>63</v>
      </c>
      <c r="J494" s="274">
        <v>6</v>
      </c>
    </row>
    <row r="495" spans="1:47" ht="18" customHeight="1" x14ac:dyDescent="0.35">
      <c r="A495" s="274">
        <f>MATCH(B495,STUDIES!$A$3:$A$502,0)</f>
        <v>40</v>
      </c>
      <c r="B495" s="270" t="s">
        <v>243</v>
      </c>
      <c r="C495" s="459"/>
      <c r="D495" s="278" t="s">
        <v>148</v>
      </c>
      <c r="E495" s="256" t="s">
        <v>151</v>
      </c>
      <c r="F495" s="155" t="str">
        <f>_xlfn.XLOOKUP(B495,STUDIES!$A$3:$A$1063,STUDIES!$G$3:$G$1063,"Not Found!")</f>
        <v>A</v>
      </c>
      <c r="G495" s="257" t="s">
        <v>147</v>
      </c>
      <c r="H495" s="257">
        <v>12</v>
      </c>
      <c r="I495" s="299">
        <v>62</v>
      </c>
      <c r="J495" s="300"/>
      <c r="K495" s="259">
        <v>24</v>
      </c>
      <c r="L495" s="259"/>
      <c r="M495" s="259"/>
      <c r="N495" s="259"/>
      <c r="O495" s="259"/>
      <c r="P495" s="259"/>
      <c r="Q495" s="279" t="s">
        <v>92</v>
      </c>
      <c r="R495" s="289"/>
      <c r="S495" s="259"/>
      <c r="T495" s="259"/>
      <c r="U495" s="259"/>
      <c r="V495" s="259"/>
      <c r="W495" s="259"/>
      <c r="X495" s="264"/>
      <c r="Y495" s="259"/>
      <c r="Z495" s="259"/>
      <c r="AA495" s="259"/>
      <c r="AB495" s="259"/>
      <c r="AC495" s="259"/>
      <c r="AD495" s="264"/>
      <c r="AE495" s="259"/>
      <c r="AF495" s="259"/>
      <c r="AG495" s="259"/>
      <c r="AH495" s="259"/>
      <c r="AI495" s="259"/>
      <c r="AJ495" s="265">
        <v>-10.98</v>
      </c>
      <c r="AK495" s="266">
        <v>6.8730000000000002</v>
      </c>
      <c r="AL495" s="266"/>
      <c r="AM495" s="266"/>
      <c r="AN495" s="266"/>
      <c r="AO495" s="267"/>
      <c r="AP495" s="266"/>
      <c r="AQ495" s="266"/>
      <c r="AR495" s="266"/>
      <c r="AS495" s="266"/>
      <c r="AT495" s="266"/>
      <c r="AU495" s="267"/>
    </row>
    <row r="496" spans="1:47" ht="18" customHeight="1" x14ac:dyDescent="0.35">
      <c r="A496" s="274">
        <f>MATCH(B496,STUDIES!$A$3:$A$502,0)</f>
        <v>40</v>
      </c>
      <c r="B496" s="272" t="s">
        <v>243</v>
      </c>
      <c r="D496" s="281" t="s">
        <v>148</v>
      </c>
      <c r="E496" s="272" t="s">
        <v>1163</v>
      </c>
      <c r="F496" s="155" t="str">
        <f>_xlfn.XLOOKUP(B496,STUDIES!$A$3:$A$1063,STUDIES!$G$3:$G$1063,"Not Found!")</f>
        <v>A</v>
      </c>
      <c r="G496" s="273" t="s">
        <v>147</v>
      </c>
      <c r="H496" s="273">
        <v>12</v>
      </c>
      <c r="I496" s="273">
        <v>64</v>
      </c>
      <c r="J496" s="274">
        <v>0</v>
      </c>
    </row>
    <row r="497" spans="1:47" ht="18" customHeight="1" x14ac:dyDescent="0.35">
      <c r="A497" s="274">
        <f>MATCH(B497,STUDIES!$A$3:$A$502,0)</f>
        <v>40</v>
      </c>
      <c r="B497" s="272" t="s">
        <v>243</v>
      </c>
      <c r="D497" s="281" t="s">
        <v>148</v>
      </c>
      <c r="E497" s="272" t="s">
        <v>1167</v>
      </c>
      <c r="F497" s="155" t="str">
        <f>_xlfn.XLOOKUP(B497,STUDIES!$A$3:$A$1063,STUDIES!$G$3:$G$1063,"Not Found!")</f>
        <v>A</v>
      </c>
      <c r="G497" s="273" t="s">
        <v>147</v>
      </c>
      <c r="H497" s="273">
        <v>12</v>
      </c>
      <c r="I497" s="273">
        <v>64</v>
      </c>
      <c r="J497" s="274">
        <v>1</v>
      </c>
    </row>
    <row r="498" spans="1:47" ht="18" customHeight="1" x14ac:dyDescent="0.35">
      <c r="A498" s="274">
        <f>MATCH(B498,STUDIES!$A$3:$A$502,0)</f>
        <v>41</v>
      </c>
      <c r="B498" s="270" t="s">
        <v>251</v>
      </c>
      <c r="C498" s="459"/>
      <c r="D498" s="278" t="s">
        <v>1068</v>
      </c>
      <c r="E498" s="256" t="s">
        <v>154</v>
      </c>
      <c r="F498" s="155" t="str">
        <f>_xlfn.XLOOKUP(B498,STUDIES!$A$3:$A$1063,STUDIES!$G$3:$G$1063,"Not Found!")</f>
        <v>A</v>
      </c>
      <c r="G498" s="286" t="s">
        <v>147</v>
      </c>
      <c r="H498" s="286">
        <v>12</v>
      </c>
      <c r="I498" s="286">
        <v>51</v>
      </c>
      <c r="J498" s="258"/>
      <c r="K498" s="259">
        <v>10.1</v>
      </c>
      <c r="L498" s="260"/>
      <c r="M498" s="260">
        <v>6.1</v>
      </c>
      <c r="N498" s="260"/>
      <c r="O498" s="260"/>
      <c r="P498" s="260"/>
      <c r="Q498" s="279" t="s">
        <v>92</v>
      </c>
      <c r="R498" s="289"/>
      <c r="S498" s="260"/>
      <c r="T498" s="260"/>
      <c r="U498" s="260"/>
      <c r="V498" s="260"/>
      <c r="W498" s="260"/>
      <c r="X498" s="264"/>
      <c r="Y498" s="259"/>
      <c r="Z498" s="259"/>
      <c r="AA498" s="259"/>
      <c r="AB498" s="259"/>
      <c r="AC498" s="259"/>
      <c r="AD498" s="264"/>
      <c r="AE498" s="260"/>
      <c r="AF498" s="260"/>
      <c r="AG498" s="260"/>
      <c r="AH498" s="260"/>
      <c r="AI498" s="260"/>
      <c r="AJ498" s="265">
        <v>-34.299999999999997</v>
      </c>
      <c r="AK498" s="266">
        <v>6.93</v>
      </c>
      <c r="AL498" s="266"/>
      <c r="AM498" s="266"/>
      <c r="AN498" s="266"/>
      <c r="AO498" s="267"/>
      <c r="AP498" s="266"/>
      <c r="AQ498" s="266"/>
      <c r="AR498" s="266"/>
      <c r="AS498" s="266"/>
      <c r="AT498" s="266"/>
      <c r="AU498" s="267"/>
    </row>
    <row r="499" spans="1:47" ht="18" customHeight="1" x14ac:dyDescent="0.35">
      <c r="A499" s="274">
        <f>MATCH(B499,STUDIES!$A$3:$A$502,0)</f>
        <v>41</v>
      </c>
      <c r="B499" s="270" t="s">
        <v>251</v>
      </c>
      <c r="C499" s="459"/>
      <c r="D499" s="278" t="s">
        <v>1068</v>
      </c>
      <c r="E499" s="256" t="s">
        <v>151</v>
      </c>
      <c r="F499" s="155" t="str">
        <f>_xlfn.XLOOKUP(B499,STUDIES!$A$3:$A$1063,STUDIES!$G$3:$G$1063,"Not Found!")</f>
        <v>A</v>
      </c>
      <c r="G499" s="257" t="s">
        <v>147</v>
      </c>
      <c r="H499" s="257">
        <v>12</v>
      </c>
      <c r="I499" s="257">
        <v>52</v>
      </c>
      <c r="J499" s="258"/>
      <c r="K499" s="259">
        <v>24.6</v>
      </c>
      <c r="L499" s="259"/>
      <c r="M499" s="259">
        <v>11.1</v>
      </c>
      <c r="N499" s="259"/>
      <c r="O499" s="259"/>
      <c r="P499" s="259"/>
      <c r="Q499" s="279" t="s">
        <v>92</v>
      </c>
      <c r="R499" s="289"/>
      <c r="S499" s="259"/>
      <c r="T499" s="259"/>
      <c r="U499" s="259"/>
      <c r="V499" s="259"/>
      <c r="W499" s="259"/>
      <c r="X499" s="264"/>
      <c r="Y499" s="259"/>
      <c r="Z499" s="259"/>
      <c r="AA499" s="259"/>
      <c r="AB499" s="259"/>
      <c r="AC499" s="259"/>
      <c r="AD499" s="264"/>
      <c r="AE499" s="259"/>
      <c r="AF499" s="259"/>
      <c r="AG499" s="259"/>
      <c r="AH499" s="259"/>
      <c r="AI499" s="259"/>
      <c r="AJ499" s="265">
        <v>-58.5</v>
      </c>
      <c r="AK499" s="266">
        <v>5.36</v>
      </c>
      <c r="AL499" s="263"/>
      <c r="AM499" s="263"/>
      <c r="AN499" s="263"/>
      <c r="AO499" s="267"/>
      <c r="AP499" s="266"/>
      <c r="AQ499" s="266"/>
      <c r="AR499" s="266"/>
      <c r="AS499" s="266"/>
      <c r="AT499" s="266"/>
      <c r="AU499" s="267"/>
    </row>
    <row r="500" spans="1:47" ht="18" customHeight="1" x14ac:dyDescent="0.35">
      <c r="A500" s="274">
        <f>MATCH(B500,STUDIES!$A$3:$A$502,0)</f>
        <v>41</v>
      </c>
      <c r="B500" s="256" t="s">
        <v>251</v>
      </c>
      <c r="C500" s="458"/>
      <c r="D500" s="278" t="s">
        <v>1068</v>
      </c>
      <c r="E500" s="256" t="s">
        <v>297</v>
      </c>
      <c r="F500" s="155" t="str">
        <f>_xlfn.XLOOKUP(B500,STUDIES!$A$3:$A$1063,STUDIES!$G$3:$G$1063,"Not Found!")</f>
        <v>A</v>
      </c>
      <c r="G500" s="286" t="s">
        <v>147</v>
      </c>
      <c r="H500" s="286">
        <v>12</v>
      </c>
      <c r="I500" s="257">
        <v>52</v>
      </c>
      <c r="J500" s="258"/>
      <c r="K500" s="259">
        <v>5.4</v>
      </c>
      <c r="L500" s="260"/>
      <c r="M500" s="260">
        <v>2.2000000000000002</v>
      </c>
      <c r="N500" s="260"/>
      <c r="O500" s="260"/>
      <c r="P500" s="260"/>
      <c r="Q500" s="279" t="s">
        <v>92</v>
      </c>
      <c r="R500" s="289"/>
      <c r="S500" s="260"/>
      <c r="T500" s="260"/>
      <c r="U500" s="260"/>
      <c r="V500" s="260"/>
      <c r="W500" s="260"/>
      <c r="X500" s="264"/>
      <c r="Y500" s="259"/>
      <c r="Z500" s="259"/>
      <c r="AA500" s="259"/>
      <c r="AB500" s="259"/>
      <c r="AC500" s="259"/>
      <c r="AD500" s="264"/>
      <c r="AE500" s="260"/>
      <c r="AF500" s="260"/>
      <c r="AG500" s="260"/>
      <c r="AH500" s="260"/>
      <c r="AI500" s="260"/>
      <c r="AJ500" s="265">
        <v>-34.9</v>
      </c>
      <c r="AK500" s="266">
        <v>6.14</v>
      </c>
      <c r="AL500" s="266"/>
      <c r="AM500" s="266"/>
      <c r="AN500" s="266"/>
      <c r="AO500" s="267"/>
      <c r="AP500" s="266"/>
      <c r="AQ500" s="266"/>
      <c r="AR500" s="266"/>
      <c r="AS500" s="266"/>
      <c r="AT500" s="266"/>
      <c r="AU500" s="267"/>
    </row>
    <row r="501" spans="1:47" ht="18" customHeight="1" x14ac:dyDescent="0.35">
      <c r="A501" s="274">
        <f>MATCH(B501,STUDIES!$A$3:$A$502,0)</f>
        <v>41</v>
      </c>
      <c r="B501" s="272" t="s">
        <v>251</v>
      </c>
      <c r="D501" s="281" t="s">
        <v>1068</v>
      </c>
      <c r="E501" s="272" t="s">
        <v>1163</v>
      </c>
      <c r="F501" s="155" t="str">
        <f>_xlfn.XLOOKUP(B501,STUDIES!$A$3:$A$1063,STUDIES!$G$3:$G$1063,"Not Found!")</f>
        <v>A</v>
      </c>
      <c r="G501" s="273" t="s">
        <v>147</v>
      </c>
      <c r="H501" s="273">
        <v>12</v>
      </c>
      <c r="I501" s="273">
        <v>54</v>
      </c>
      <c r="J501" s="274">
        <v>3</v>
      </c>
    </row>
    <row r="502" spans="1:47" ht="18" customHeight="1" x14ac:dyDescent="0.35">
      <c r="A502" s="274">
        <f>MATCH(B502,STUDIES!$A$3:$A$502,0)</f>
        <v>41</v>
      </c>
      <c r="B502" s="272" t="s">
        <v>251</v>
      </c>
      <c r="D502" s="281" t="s">
        <v>1068</v>
      </c>
      <c r="E502" s="272" t="s">
        <v>1167</v>
      </c>
      <c r="F502" s="155" t="str">
        <f>_xlfn.XLOOKUP(B502,STUDIES!$A$3:$A$1063,STUDIES!$G$3:$G$1063,"Not Found!")</f>
        <v>A</v>
      </c>
      <c r="G502" s="273" t="s">
        <v>147</v>
      </c>
      <c r="H502" s="273">
        <v>12</v>
      </c>
      <c r="I502" s="273">
        <v>54</v>
      </c>
      <c r="J502" s="274">
        <v>1</v>
      </c>
    </row>
    <row r="503" spans="1:47" ht="18" customHeight="1" x14ac:dyDescent="0.35">
      <c r="A503" s="274">
        <f>MATCH(B503,STUDIES!$A$3:$A$502,0)</f>
        <v>41</v>
      </c>
      <c r="B503" s="270" t="s">
        <v>251</v>
      </c>
      <c r="C503" s="459"/>
      <c r="D503" s="278" t="s">
        <v>1069</v>
      </c>
      <c r="E503" s="256" t="s">
        <v>154</v>
      </c>
      <c r="F503" s="155" t="str">
        <f>_xlfn.XLOOKUP(B503,STUDIES!$A$3:$A$1063,STUDIES!$G$3:$G$1063,"Not Found!")</f>
        <v>A</v>
      </c>
      <c r="G503" s="286" t="s">
        <v>147</v>
      </c>
      <c r="H503" s="286">
        <v>12</v>
      </c>
      <c r="I503" s="286">
        <v>51</v>
      </c>
      <c r="J503" s="258"/>
      <c r="K503" s="259">
        <v>12.6</v>
      </c>
      <c r="L503" s="260"/>
      <c r="M503" s="260">
        <v>7.7</v>
      </c>
      <c r="N503" s="260"/>
      <c r="O503" s="260"/>
      <c r="P503" s="260"/>
      <c r="Q503" s="279" t="s">
        <v>92</v>
      </c>
      <c r="R503" s="289"/>
      <c r="S503" s="260"/>
      <c r="T503" s="260"/>
      <c r="U503" s="260"/>
      <c r="V503" s="260"/>
      <c r="W503" s="260"/>
      <c r="X503" s="264"/>
      <c r="Y503" s="259"/>
      <c r="Z503" s="259"/>
      <c r="AA503" s="259"/>
      <c r="AB503" s="259"/>
      <c r="AC503" s="259"/>
      <c r="AD503" s="264"/>
      <c r="AE503" s="260"/>
      <c r="AF503" s="260"/>
      <c r="AG503" s="260"/>
      <c r="AH503" s="260"/>
      <c r="AI503" s="260"/>
      <c r="AJ503" s="265">
        <f>-43.1</f>
        <v>-43.1</v>
      </c>
      <c r="AK503" s="266">
        <v>7.02</v>
      </c>
      <c r="AL503" s="266"/>
      <c r="AM503" s="266"/>
      <c r="AN503" s="266"/>
      <c r="AO503" s="267"/>
      <c r="AP503" s="266"/>
      <c r="AQ503" s="266"/>
      <c r="AR503" s="266"/>
      <c r="AS503" s="266"/>
      <c r="AT503" s="266"/>
      <c r="AU503" s="267"/>
    </row>
    <row r="504" spans="1:47" ht="18" customHeight="1" x14ac:dyDescent="0.35">
      <c r="A504" s="274">
        <f>MATCH(B504,STUDIES!$A$3:$A$502,0)</f>
        <v>41</v>
      </c>
      <c r="B504" s="270" t="s">
        <v>251</v>
      </c>
      <c r="C504" s="459"/>
      <c r="D504" s="278" t="s">
        <v>1069</v>
      </c>
      <c r="E504" s="256" t="s">
        <v>151</v>
      </c>
      <c r="F504" s="155" t="str">
        <f>_xlfn.XLOOKUP(B504,STUDIES!$A$3:$A$1063,STUDIES!$G$3:$G$1063,"Not Found!")</f>
        <v>A</v>
      </c>
      <c r="G504" s="257" t="s">
        <v>147</v>
      </c>
      <c r="H504" s="257">
        <v>12</v>
      </c>
      <c r="I504" s="257">
        <v>51</v>
      </c>
      <c r="J504" s="258"/>
      <c r="K504" s="259">
        <v>26.9</v>
      </c>
      <c r="L504" s="259"/>
      <c r="M504" s="259">
        <v>11.7</v>
      </c>
      <c r="N504" s="259"/>
      <c r="O504" s="259"/>
      <c r="P504" s="259"/>
      <c r="Q504" s="279" t="s">
        <v>92</v>
      </c>
      <c r="R504" s="289"/>
      <c r="S504" s="259"/>
      <c r="T504" s="259"/>
      <c r="U504" s="259"/>
      <c r="V504" s="259"/>
      <c r="W504" s="259"/>
      <c r="X504" s="264"/>
      <c r="Y504" s="259"/>
      <c r="Z504" s="259"/>
      <c r="AA504" s="259"/>
      <c r="AB504" s="259"/>
      <c r="AC504" s="259"/>
      <c r="AD504" s="264"/>
      <c r="AE504" s="259"/>
      <c r="AF504" s="259"/>
      <c r="AG504" s="259"/>
      <c r="AH504" s="259"/>
      <c r="AI504" s="259"/>
      <c r="AJ504" s="265">
        <v>-70.5</v>
      </c>
      <c r="AK504" s="266">
        <v>5.45</v>
      </c>
      <c r="AL504" s="263"/>
      <c r="AM504" s="263"/>
      <c r="AN504" s="263"/>
      <c r="AO504" s="267"/>
      <c r="AP504" s="266"/>
      <c r="AQ504" s="266"/>
      <c r="AR504" s="266"/>
      <c r="AS504" s="266"/>
      <c r="AT504" s="266"/>
      <c r="AU504" s="267"/>
    </row>
    <row r="505" spans="1:47" ht="18" customHeight="1" x14ac:dyDescent="0.35">
      <c r="A505" s="274">
        <f>MATCH(B505,STUDIES!$A$3:$A$502,0)</f>
        <v>41</v>
      </c>
      <c r="B505" s="256" t="s">
        <v>251</v>
      </c>
      <c r="C505" s="458"/>
      <c r="D505" s="278" t="s">
        <v>1069</v>
      </c>
      <c r="E505" s="256" t="s">
        <v>297</v>
      </c>
      <c r="F505" s="155" t="str">
        <f>_xlfn.XLOOKUP(B505,STUDIES!$A$3:$A$1063,STUDIES!$G$3:$G$1063,"Not Found!")</f>
        <v>A</v>
      </c>
      <c r="G505" s="286" t="s">
        <v>147</v>
      </c>
      <c r="H505" s="286">
        <v>12</v>
      </c>
      <c r="I505" s="257">
        <v>51</v>
      </c>
      <c r="J505" s="258"/>
      <c r="K505" s="259">
        <v>5.8</v>
      </c>
      <c r="L505" s="260"/>
      <c r="M505" s="260">
        <v>2.2999999999999998</v>
      </c>
      <c r="N505" s="260"/>
      <c r="O505" s="260"/>
      <c r="P505" s="260"/>
      <c r="Q505" s="279" t="s">
        <v>92</v>
      </c>
      <c r="R505" s="289"/>
      <c r="S505" s="260"/>
      <c r="T505" s="260"/>
      <c r="U505" s="260"/>
      <c r="V505" s="260"/>
      <c r="W505" s="260"/>
      <c r="X505" s="264"/>
      <c r="Y505" s="259"/>
      <c r="Z505" s="259"/>
      <c r="AA505" s="259"/>
      <c r="AB505" s="259"/>
      <c r="AC505" s="259"/>
      <c r="AD505" s="264"/>
      <c r="AE505" s="260"/>
      <c r="AF505" s="260"/>
      <c r="AG505" s="260"/>
      <c r="AH505" s="260"/>
      <c r="AI505" s="260"/>
      <c r="AJ505" s="265">
        <v>-40.700000000000003</v>
      </c>
      <c r="AK505" s="266">
        <v>6.19</v>
      </c>
      <c r="AL505" s="266"/>
      <c r="AM505" s="266"/>
      <c r="AN505" s="266"/>
      <c r="AO505" s="267"/>
      <c r="AP505" s="266"/>
      <c r="AQ505" s="266"/>
      <c r="AR505" s="266"/>
      <c r="AS505" s="266"/>
      <c r="AT505" s="266"/>
      <c r="AU505" s="267"/>
    </row>
    <row r="506" spans="1:47" ht="18" customHeight="1" x14ac:dyDescent="0.35">
      <c r="A506" s="274">
        <f>MATCH(B506,STUDIES!$A$3:$A$502,0)</f>
        <v>41</v>
      </c>
      <c r="B506" s="272" t="s">
        <v>251</v>
      </c>
      <c r="D506" s="281" t="s">
        <v>1069</v>
      </c>
      <c r="E506" s="272" t="s">
        <v>1163</v>
      </c>
      <c r="F506" s="155" t="str">
        <f>_xlfn.XLOOKUP(B506,STUDIES!$A$3:$A$1063,STUDIES!$G$3:$G$1063,"Not Found!")</f>
        <v>A</v>
      </c>
      <c r="G506" s="273" t="s">
        <v>147</v>
      </c>
      <c r="H506" s="273">
        <v>12</v>
      </c>
      <c r="I506" s="273">
        <v>50</v>
      </c>
      <c r="J506" s="274">
        <v>2</v>
      </c>
    </row>
    <row r="507" spans="1:47" ht="18" customHeight="1" x14ac:dyDescent="0.35">
      <c r="A507" s="274">
        <f>MATCH(B507,STUDIES!$A$3:$A$502,0)</f>
        <v>41</v>
      </c>
      <c r="B507" s="272" t="s">
        <v>251</v>
      </c>
      <c r="D507" s="281" t="s">
        <v>1069</v>
      </c>
      <c r="E507" s="272" t="s">
        <v>1167</v>
      </c>
      <c r="F507" s="155" t="str">
        <f>_xlfn.XLOOKUP(B507,STUDIES!$A$3:$A$1063,STUDIES!$G$3:$G$1063,"Not Found!")</f>
        <v>A</v>
      </c>
      <c r="G507" s="273" t="s">
        <v>147</v>
      </c>
      <c r="H507" s="273">
        <v>12</v>
      </c>
      <c r="I507" s="273">
        <v>50</v>
      </c>
      <c r="J507" s="274">
        <v>2</v>
      </c>
    </row>
    <row r="508" spans="1:47" ht="18" customHeight="1" x14ac:dyDescent="0.35">
      <c r="A508" s="274">
        <f>MATCH(B508,STUDIES!$A$3:$A$502,0)</f>
        <v>41</v>
      </c>
      <c r="B508" s="270" t="s">
        <v>251</v>
      </c>
      <c r="C508" s="459"/>
      <c r="D508" s="278" t="s">
        <v>1070</v>
      </c>
      <c r="E508" s="256" t="s">
        <v>154</v>
      </c>
      <c r="F508" s="155" t="str">
        <f>_xlfn.XLOOKUP(B508,STUDIES!$A$3:$A$1063,STUDIES!$G$3:$G$1063,"Not Found!")</f>
        <v>A</v>
      </c>
      <c r="G508" s="286" t="s">
        <v>147</v>
      </c>
      <c r="H508" s="286">
        <v>12</v>
      </c>
      <c r="I508" s="286">
        <v>52</v>
      </c>
      <c r="J508" s="258"/>
      <c r="K508" s="259">
        <v>10.9</v>
      </c>
      <c r="L508" s="260"/>
      <c r="M508" s="260">
        <v>7.6</v>
      </c>
      <c r="N508" s="260"/>
      <c r="O508" s="260"/>
      <c r="P508" s="260"/>
      <c r="Q508" s="279" t="s">
        <v>92</v>
      </c>
      <c r="R508" s="289"/>
      <c r="S508" s="260"/>
      <c r="T508" s="260"/>
      <c r="U508" s="260"/>
      <c r="V508" s="260"/>
      <c r="W508" s="260"/>
      <c r="X508" s="264"/>
      <c r="Y508" s="259"/>
      <c r="Z508" s="259"/>
      <c r="AA508" s="259"/>
      <c r="AB508" s="259"/>
      <c r="AC508" s="259"/>
      <c r="AD508" s="264"/>
      <c r="AE508" s="260"/>
      <c r="AF508" s="260"/>
      <c r="AG508" s="260"/>
      <c r="AH508" s="260"/>
      <c r="AI508" s="260"/>
      <c r="AJ508" s="265">
        <v>-40.700000000000003</v>
      </c>
      <c r="AK508" s="266">
        <v>6.69</v>
      </c>
      <c r="AL508" s="266"/>
      <c r="AM508" s="266"/>
      <c r="AN508" s="266"/>
      <c r="AO508" s="267"/>
      <c r="AP508" s="266"/>
      <c r="AQ508" s="266"/>
      <c r="AR508" s="266"/>
      <c r="AS508" s="266"/>
      <c r="AT508" s="266"/>
      <c r="AU508" s="267"/>
    </row>
    <row r="509" spans="1:47" ht="18" customHeight="1" x14ac:dyDescent="0.35">
      <c r="A509" s="274">
        <f>MATCH(B509,STUDIES!$A$3:$A$502,0)</f>
        <v>41</v>
      </c>
      <c r="B509" s="270" t="s">
        <v>251</v>
      </c>
      <c r="C509" s="459"/>
      <c r="D509" s="278" t="s">
        <v>1070</v>
      </c>
      <c r="E509" s="256" t="s">
        <v>151</v>
      </c>
      <c r="F509" s="155" t="str">
        <f>_xlfn.XLOOKUP(B509,STUDIES!$A$3:$A$1063,STUDIES!$G$3:$G$1063,"Not Found!")</f>
        <v>A</v>
      </c>
      <c r="G509" s="257" t="s">
        <v>147</v>
      </c>
      <c r="H509" s="257">
        <v>12</v>
      </c>
      <c r="I509" s="257">
        <v>53</v>
      </c>
      <c r="J509" s="258"/>
      <c r="K509" s="259">
        <v>26.3</v>
      </c>
      <c r="L509" s="259"/>
      <c r="M509" s="259">
        <v>12.2</v>
      </c>
      <c r="N509" s="259"/>
      <c r="O509" s="259"/>
      <c r="P509" s="259"/>
      <c r="Q509" s="279" t="s">
        <v>92</v>
      </c>
      <c r="R509" s="289"/>
      <c r="S509" s="259"/>
      <c r="T509" s="259"/>
      <c r="U509" s="259"/>
      <c r="V509" s="259"/>
      <c r="W509" s="259"/>
      <c r="X509" s="264"/>
      <c r="Y509" s="259"/>
      <c r="Z509" s="259"/>
      <c r="AA509" s="259"/>
      <c r="AB509" s="259"/>
      <c r="AC509" s="259"/>
      <c r="AD509" s="264"/>
      <c r="AE509" s="259"/>
      <c r="AF509" s="259"/>
      <c r="AG509" s="259"/>
      <c r="AH509" s="259"/>
      <c r="AI509" s="259"/>
      <c r="AJ509" s="265">
        <v>-57.7</v>
      </c>
      <c r="AK509" s="266">
        <v>5.26</v>
      </c>
      <c r="AL509" s="263"/>
      <c r="AM509" s="263"/>
      <c r="AN509" s="263"/>
      <c r="AO509" s="267"/>
      <c r="AP509" s="266"/>
      <c r="AQ509" s="266"/>
      <c r="AR509" s="266"/>
      <c r="AS509" s="266"/>
      <c r="AT509" s="266"/>
      <c r="AU509" s="267"/>
    </row>
    <row r="510" spans="1:47" ht="18" customHeight="1" x14ac:dyDescent="0.35">
      <c r="A510" s="274">
        <f>MATCH(B510,STUDIES!$A$3:$A$502,0)</f>
        <v>41</v>
      </c>
      <c r="B510" s="256" t="s">
        <v>251</v>
      </c>
      <c r="C510" s="458"/>
      <c r="D510" s="278" t="s">
        <v>1070</v>
      </c>
      <c r="E510" s="256" t="s">
        <v>297</v>
      </c>
      <c r="F510" s="155" t="str">
        <f>_xlfn.XLOOKUP(B510,STUDIES!$A$3:$A$1063,STUDIES!$G$3:$G$1063,"Not Found!")</f>
        <v>A</v>
      </c>
      <c r="G510" s="286" t="s">
        <v>147</v>
      </c>
      <c r="H510" s="286">
        <v>12</v>
      </c>
      <c r="I510" s="257">
        <v>53</v>
      </c>
      <c r="J510" s="258"/>
      <c r="K510" s="259">
        <v>5.8</v>
      </c>
      <c r="L510" s="260"/>
      <c r="M510" s="260">
        <v>2.1</v>
      </c>
      <c r="N510" s="260"/>
      <c r="O510" s="260"/>
      <c r="P510" s="260"/>
      <c r="Q510" s="279" t="s">
        <v>92</v>
      </c>
      <c r="R510" s="289"/>
      <c r="S510" s="260"/>
      <c r="T510" s="260"/>
      <c r="U510" s="260"/>
      <c r="V510" s="260"/>
      <c r="W510" s="260"/>
      <c r="X510" s="264"/>
      <c r="Y510" s="259"/>
      <c r="Z510" s="259"/>
      <c r="AA510" s="259"/>
      <c r="AB510" s="259"/>
      <c r="AC510" s="259"/>
      <c r="AD510" s="264"/>
      <c r="AE510" s="260"/>
      <c r="AF510" s="260"/>
      <c r="AG510" s="260"/>
      <c r="AH510" s="260"/>
      <c r="AI510" s="260"/>
      <c r="AJ510" s="265">
        <v>-32.799999999999997</v>
      </c>
      <c r="AK510" s="266">
        <v>5.95</v>
      </c>
      <c r="AL510" s="266"/>
      <c r="AM510" s="266"/>
      <c r="AN510" s="266"/>
      <c r="AO510" s="267"/>
      <c r="AP510" s="266"/>
      <c r="AQ510" s="266"/>
      <c r="AR510" s="266"/>
      <c r="AS510" s="266"/>
      <c r="AT510" s="266"/>
      <c r="AU510" s="267"/>
    </row>
    <row r="511" spans="1:47" ht="18" customHeight="1" x14ac:dyDescent="0.35">
      <c r="A511" s="274">
        <f>MATCH(B511,STUDIES!$A$3:$A$502,0)</f>
        <v>41</v>
      </c>
      <c r="B511" s="272" t="s">
        <v>251</v>
      </c>
      <c r="D511" s="281" t="s">
        <v>1070</v>
      </c>
      <c r="E511" s="272" t="s">
        <v>1163</v>
      </c>
      <c r="F511" s="155" t="str">
        <f>_xlfn.XLOOKUP(B511,STUDIES!$A$3:$A$1063,STUDIES!$G$3:$G$1063,"Not Found!")</f>
        <v>A</v>
      </c>
      <c r="G511" s="273" t="s">
        <v>147</v>
      </c>
      <c r="H511" s="273">
        <v>12</v>
      </c>
      <c r="I511" s="273">
        <v>52</v>
      </c>
      <c r="J511" s="274">
        <v>0</v>
      </c>
    </row>
    <row r="512" spans="1:47" ht="18" customHeight="1" x14ac:dyDescent="0.35">
      <c r="A512" s="274">
        <f>MATCH(B512,STUDIES!$A$3:$A$502,0)</f>
        <v>41</v>
      </c>
      <c r="B512" s="272" t="s">
        <v>251</v>
      </c>
      <c r="D512" s="281" t="s">
        <v>1070</v>
      </c>
      <c r="E512" s="272" t="s">
        <v>1167</v>
      </c>
      <c r="F512" s="155" t="str">
        <f>_xlfn.XLOOKUP(B512,STUDIES!$A$3:$A$1063,STUDIES!$G$3:$G$1063,"Not Found!")</f>
        <v>A</v>
      </c>
      <c r="G512" s="273" t="s">
        <v>147</v>
      </c>
      <c r="H512" s="273">
        <v>12</v>
      </c>
      <c r="I512" s="273">
        <v>52</v>
      </c>
      <c r="J512" s="274">
        <v>0</v>
      </c>
    </row>
    <row r="513" spans="1:47" ht="18" customHeight="1" x14ac:dyDescent="0.35">
      <c r="A513" s="274">
        <f>MATCH(B513,STUDIES!$A$3:$A$502,0)</f>
        <v>41</v>
      </c>
      <c r="B513" s="270" t="s">
        <v>251</v>
      </c>
      <c r="C513" s="459"/>
      <c r="D513" s="278" t="s">
        <v>148</v>
      </c>
      <c r="E513" s="256" t="s">
        <v>154</v>
      </c>
      <c r="F513" s="155" t="str">
        <f>_xlfn.XLOOKUP(B513,STUDIES!$A$3:$A$1063,STUDIES!$G$3:$G$1063,"Not Found!")</f>
        <v>A</v>
      </c>
      <c r="G513" s="286" t="s">
        <v>147</v>
      </c>
      <c r="H513" s="286">
        <v>12</v>
      </c>
      <c r="I513" s="286">
        <v>52</v>
      </c>
      <c r="J513" s="258"/>
      <c r="K513" s="259">
        <v>12.1</v>
      </c>
      <c r="L513" s="260"/>
      <c r="M513" s="260">
        <v>7.5</v>
      </c>
      <c r="N513" s="260"/>
      <c r="O513" s="260"/>
      <c r="P513" s="260"/>
      <c r="Q513" s="279" t="s">
        <v>92</v>
      </c>
      <c r="R513" s="289"/>
      <c r="S513" s="260"/>
      <c r="T513" s="260"/>
      <c r="U513" s="260"/>
      <c r="V513" s="260"/>
      <c r="W513" s="260"/>
      <c r="X513" s="264"/>
      <c r="Y513" s="259"/>
      <c r="Z513" s="259"/>
      <c r="AA513" s="259"/>
      <c r="AB513" s="259"/>
      <c r="AC513" s="259"/>
      <c r="AD513" s="264"/>
      <c r="AE513" s="260"/>
      <c r="AF513" s="260"/>
      <c r="AG513" s="260"/>
      <c r="AH513" s="260"/>
      <c r="AI513" s="260"/>
      <c r="AJ513" s="265">
        <v>-33.6</v>
      </c>
      <c r="AK513" s="266">
        <v>6.93</v>
      </c>
      <c r="AL513" s="266"/>
      <c r="AM513" s="266"/>
      <c r="AN513" s="266"/>
      <c r="AO513" s="267"/>
      <c r="AP513" s="266"/>
      <c r="AQ513" s="266"/>
      <c r="AR513" s="266"/>
      <c r="AS513" s="266"/>
      <c r="AT513" s="266"/>
      <c r="AU513" s="267"/>
    </row>
    <row r="514" spans="1:47" ht="18" customHeight="1" x14ac:dyDescent="0.35">
      <c r="A514" s="274">
        <f>MATCH(B514,STUDIES!$A$3:$A$502,0)</f>
        <v>41</v>
      </c>
      <c r="B514" s="270" t="s">
        <v>251</v>
      </c>
      <c r="C514" s="459"/>
      <c r="D514" s="278" t="s">
        <v>148</v>
      </c>
      <c r="E514" s="256" t="s">
        <v>151</v>
      </c>
      <c r="F514" s="155" t="str">
        <f>_xlfn.XLOOKUP(B514,STUDIES!$A$3:$A$1063,STUDIES!$G$3:$G$1063,"Not Found!")</f>
        <v>A</v>
      </c>
      <c r="G514" s="257" t="s">
        <v>147</v>
      </c>
      <c r="H514" s="257">
        <v>12</v>
      </c>
      <c r="I514" s="257">
        <v>53</v>
      </c>
      <c r="J514" s="258"/>
      <c r="K514" s="259">
        <v>23.6</v>
      </c>
      <c r="L514" s="259"/>
      <c r="M514" s="259">
        <v>9.1999999999999993</v>
      </c>
      <c r="N514" s="259"/>
      <c r="O514" s="259"/>
      <c r="P514" s="259"/>
      <c r="Q514" s="279" t="s">
        <v>92</v>
      </c>
      <c r="R514" s="289"/>
      <c r="S514" s="259"/>
      <c r="T514" s="259"/>
      <c r="U514" s="259"/>
      <c r="V514" s="259"/>
      <c r="W514" s="259"/>
      <c r="X514" s="264"/>
      <c r="Y514" s="259"/>
      <c r="Z514" s="259"/>
      <c r="AA514" s="259"/>
      <c r="AB514" s="259"/>
      <c r="AC514" s="259"/>
      <c r="AD514" s="264"/>
      <c r="AE514" s="259"/>
      <c r="AF514" s="259"/>
      <c r="AG514" s="259"/>
      <c r="AH514" s="259"/>
      <c r="AI514" s="259"/>
      <c r="AJ514" s="265">
        <v>-53.1</v>
      </c>
      <c r="AK514" s="266">
        <v>5.38</v>
      </c>
      <c r="AL514" s="263"/>
      <c r="AM514" s="263"/>
      <c r="AN514" s="263"/>
      <c r="AO514" s="267"/>
      <c r="AP514" s="266"/>
      <c r="AQ514" s="266"/>
      <c r="AR514" s="266"/>
      <c r="AS514" s="266"/>
      <c r="AT514" s="266"/>
      <c r="AU514" s="267"/>
    </row>
    <row r="515" spans="1:47" ht="18" customHeight="1" x14ac:dyDescent="0.35">
      <c r="A515" s="274">
        <f>MATCH(B515,STUDIES!$A$3:$A$502,0)</f>
        <v>41</v>
      </c>
      <c r="B515" s="256" t="s">
        <v>251</v>
      </c>
      <c r="C515" s="458"/>
      <c r="D515" s="278" t="s">
        <v>148</v>
      </c>
      <c r="E515" s="256" t="s">
        <v>297</v>
      </c>
      <c r="F515" s="155" t="str">
        <f>_xlfn.XLOOKUP(B515,STUDIES!$A$3:$A$1063,STUDIES!$G$3:$G$1063,"Not Found!")</f>
        <v>A</v>
      </c>
      <c r="G515" s="286" t="s">
        <v>147</v>
      </c>
      <c r="H515" s="286">
        <v>12</v>
      </c>
      <c r="I515" s="257">
        <v>53</v>
      </c>
      <c r="J515" s="258"/>
      <c r="K515" s="259">
        <v>6</v>
      </c>
      <c r="L515" s="260"/>
      <c r="M515" s="260">
        <v>2.2999999999999998</v>
      </c>
      <c r="N515" s="260"/>
      <c r="O515" s="260"/>
      <c r="P515" s="260"/>
      <c r="Q515" s="279" t="s">
        <v>92</v>
      </c>
      <c r="R515" s="289"/>
      <c r="S515" s="260"/>
      <c r="T515" s="260"/>
      <c r="U515" s="260"/>
      <c r="V515" s="260"/>
      <c r="W515" s="260"/>
      <c r="X515" s="264"/>
      <c r="Y515" s="259"/>
      <c r="Z515" s="259"/>
      <c r="AA515" s="259"/>
      <c r="AB515" s="259"/>
      <c r="AC515" s="259"/>
      <c r="AD515" s="264"/>
      <c r="AE515" s="260"/>
      <c r="AF515" s="260"/>
      <c r="AG515" s="260"/>
      <c r="AH515" s="260"/>
      <c r="AI515" s="260"/>
      <c r="AJ515" s="265">
        <v>-27.5</v>
      </c>
      <c r="AK515" s="266">
        <v>6.12</v>
      </c>
      <c r="AL515" s="266"/>
      <c r="AM515" s="266"/>
      <c r="AN515" s="266"/>
      <c r="AO515" s="267"/>
      <c r="AP515" s="266"/>
      <c r="AQ515" s="266"/>
      <c r="AR515" s="266"/>
      <c r="AS515" s="266"/>
      <c r="AT515" s="266"/>
      <c r="AU515" s="267"/>
    </row>
    <row r="516" spans="1:47" ht="18" customHeight="1" x14ac:dyDescent="0.35">
      <c r="A516" s="274">
        <f>MATCH(B516,STUDIES!$A$3:$A$502,0)</f>
        <v>41</v>
      </c>
      <c r="B516" s="272" t="s">
        <v>251</v>
      </c>
      <c r="D516" s="281" t="s">
        <v>148</v>
      </c>
      <c r="E516" s="272" t="s">
        <v>1163</v>
      </c>
      <c r="F516" s="155" t="str">
        <f>_xlfn.XLOOKUP(B516,STUDIES!$A$3:$A$1063,STUDIES!$G$3:$G$1063,"Not Found!")</f>
        <v>A</v>
      </c>
      <c r="G516" s="273" t="s">
        <v>147</v>
      </c>
      <c r="H516" s="273">
        <v>12</v>
      </c>
      <c r="I516" s="273">
        <v>53</v>
      </c>
      <c r="J516" s="274">
        <v>2</v>
      </c>
    </row>
    <row r="517" spans="1:47" ht="18" customHeight="1" x14ac:dyDescent="0.35">
      <c r="A517" s="274">
        <f>MATCH(B517,STUDIES!$A$3:$A$502,0)</f>
        <v>41</v>
      </c>
      <c r="B517" s="272" t="s">
        <v>251</v>
      </c>
      <c r="D517" s="281" t="s">
        <v>148</v>
      </c>
      <c r="E517" s="272" t="s">
        <v>1167</v>
      </c>
      <c r="F517" s="155" t="str">
        <f>_xlfn.XLOOKUP(B517,STUDIES!$A$3:$A$1063,STUDIES!$G$3:$G$1063,"Not Found!")</f>
        <v>A</v>
      </c>
      <c r="G517" s="273" t="s">
        <v>147</v>
      </c>
      <c r="H517" s="273">
        <v>12</v>
      </c>
      <c r="I517" s="273">
        <v>53</v>
      </c>
      <c r="J517" s="274">
        <v>1</v>
      </c>
    </row>
    <row r="518" spans="1:47" ht="18" customHeight="1" x14ac:dyDescent="0.35">
      <c r="A518" s="274">
        <f>MATCH(B518,STUDIES!$A$3:$A$502,0)</f>
        <v>42</v>
      </c>
      <c r="B518" s="270" t="s">
        <v>259</v>
      </c>
      <c r="C518" s="459"/>
      <c r="D518" s="278" t="s">
        <v>148</v>
      </c>
      <c r="E518" s="256" t="s">
        <v>290</v>
      </c>
      <c r="F518" s="155" t="str">
        <f>_xlfn.XLOOKUP(B518,STUDIES!$A$3:$A$1063,STUDIES!$G$3:$G$1063,"Not Found!")</f>
        <v>A</v>
      </c>
      <c r="G518" s="257" t="s">
        <v>147</v>
      </c>
      <c r="H518" s="257">
        <v>12</v>
      </c>
      <c r="I518" s="299">
        <v>48</v>
      </c>
      <c r="J518" s="300"/>
      <c r="K518" s="263"/>
      <c r="L518" s="263"/>
      <c r="M518" s="263"/>
      <c r="N518" s="263"/>
      <c r="O518" s="263"/>
      <c r="P518" s="263"/>
      <c r="Q518" s="279" t="s">
        <v>90</v>
      </c>
      <c r="R518" s="280">
        <v>-1.39</v>
      </c>
      <c r="S518" s="263"/>
      <c r="T518" s="263">
        <v>1.93</v>
      </c>
      <c r="U518" s="263"/>
      <c r="V518" s="263"/>
      <c r="W518" s="263"/>
      <c r="X518" s="264"/>
      <c r="Y518" s="259"/>
      <c r="Z518" s="259"/>
      <c r="AA518" s="259"/>
      <c r="AB518" s="259"/>
      <c r="AC518" s="259"/>
      <c r="AD518" s="264"/>
      <c r="AE518" s="259"/>
      <c r="AF518" s="259"/>
      <c r="AG518" s="259"/>
      <c r="AH518" s="259"/>
      <c r="AI518" s="259"/>
      <c r="AJ518" s="265"/>
      <c r="AK518" s="266"/>
      <c r="AL518" s="266"/>
      <c r="AM518" s="266"/>
      <c r="AN518" s="266"/>
      <c r="AO518" s="267"/>
      <c r="AP518" s="266"/>
      <c r="AQ518" s="266"/>
      <c r="AR518" s="266"/>
      <c r="AS518" s="266"/>
      <c r="AT518" s="266"/>
      <c r="AU518" s="267"/>
    </row>
    <row r="519" spans="1:47" ht="18" customHeight="1" x14ac:dyDescent="0.35">
      <c r="A519" s="274">
        <f>MATCH(B519,STUDIES!$A$3:$A$502,0)</f>
        <v>42</v>
      </c>
      <c r="B519" s="270" t="s">
        <v>259</v>
      </c>
      <c r="C519" s="459"/>
      <c r="D519" s="278" t="s">
        <v>148</v>
      </c>
      <c r="E519" s="256" t="s">
        <v>151</v>
      </c>
      <c r="F519" s="155" t="str">
        <f>_xlfn.XLOOKUP(B519,STUDIES!$A$3:$A$1063,STUDIES!$G$3:$G$1063,"Not Found!")</f>
        <v>A</v>
      </c>
      <c r="G519" s="257" t="s">
        <v>147</v>
      </c>
      <c r="H519" s="257">
        <v>12</v>
      </c>
      <c r="I519" s="299">
        <v>50</v>
      </c>
      <c r="J519" s="300"/>
      <c r="K519" s="263"/>
      <c r="L519" s="263"/>
      <c r="M519" s="263"/>
      <c r="N519" s="263"/>
      <c r="O519" s="263"/>
      <c r="P519" s="263"/>
      <c r="Q519" s="290" t="s">
        <v>90</v>
      </c>
      <c r="R519" s="280">
        <v>-11.23</v>
      </c>
      <c r="S519" s="259"/>
      <c r="T519" s="263">
        <v>8.73</v>
      </c>
      <c r="U519" s="263"/>
      <c r="V519" s="263"/>
      <c r="W519" s="263"/>
      <c r="X519" s="264"/>
      <c r="Y519" s="259"/>
      <c r="Z519" s="259"/>
      <c r="AA519" s="259"/>
      <c r="AB519" s="259"/>
      <c r="AC519" s="259"/>
      <c r="AD519" s="264"/>
      <c r="AE519" s="259"/>
      <c r="AF519" s="259"/>
      <c r="AG519" s="259"/>
      <c r="AH519" s="259"/>
      <c r="AI519" s="259"/>
      <c r="AJ519" s="265"/>
      <c r="AK519" s="266"/>
      <c r="AL519" s="266"/>
      <c r="AM519" s="266"/>
      <c r="AN519" s="266"/>
      <c r="AO519" s="267"/>
      <c r="AP519" s="266"/>
      <c r="AQ519" s="266"/>
      <c r="AR519" s="266"/>
      <c r="AS519" s="266"/>
      <c r="AT519" s="266"/>
      <c r="AU519" s="267"/>
    </row>
    <row r="520" spans="1:47" ht="18" customHeight="1" x14ac:dyDescent="0.35">
      <c r="A520" s="274">
        <f>MATCH(B520,STUDIES!$A$3:$A$502,0)</f>
        <v>42</v>
      </c>
      <c r="B520" s="270" t="s">
        <v>259</v>
      </c>
      <c r="C520" s="459"/>
      <c r="D520" s="278" t="s">
        <v>1093</v>
      </c>
      <c r="E520" s="256" t="s">
        <v>290</v>
      </c>
      <c r="F520" s="155" t="str">
        <f>_xlfn.XLOOKUP(B520,STUDIES!$A$3:$A$1063,STUDIES!$G$3:$G$1063,"Not Found!")</f>
        <v>A</v>
      </c>
      <c r="G520" s="257" t="s">
        <v>147</v>
      </c>
      <c r="H520" s="257">
        <v>12</v>
      </c>
      <c r="I520" s="299">
        <v>47</v>
      </c>
      <c r="J520" s="300"/>
      <c r="K520" s="263"/>
      <c r="L520" s="263"/>
      <c r="M520" s="263"/>
      <c r="N520" s="263"/>
      <c r="O520" s="263"/>
      <c r="P520" s="263"/>
      <c r="Q520" s="279" t="s">
        <v>90</v>
      </c>
      <c r="R520" s="280">
        <v>-1.9</v>
      </c>
      <c r="S520" s="263"/>
      <c r="T520" s="263">
        <v>1.99</v>
      </c>
      <c r="U520" s="263"/>
      <c r="V520" s="263"/>
      <c r="W520" s="263"/>
      <c r="X520" s="264"/>
      <c r="Y520" s="259"/>
      <c r="Z520" s="259"/>
      <c r="AA520" s="259"/>
      <c r="AB520" s="259"/>
      <c r="AC520" s="259"/>
      <c r="AD520" s="264"/>
      <c r="AE520" s="259"/>
      <c r="AF520" s="259"/>
      <c r="AG520" s="259"/>
      <c r="AH520" s="259"/>
      <c r="AI520" s="259"/>
      <c r="AJ520" s="265"/>
      <c r="AK520" s="266"/>
      <c r="AL520" s="266"/>
      <c r="AM520" s="266"/>
      <c r="AN520" s="266"/>
      <c r="AO520" s="267"/>
      <c r="AP520" s="266"/>
      <c r="AQ520" s="266"/>
      <c r="AR520" s="266"/>
      <c r="AS520" s="266"/>
      <c r="AT520" s="266"/>
      <c r="AU520" s="267"/>
    </row>
    <row r="521" spans="1:47" ht="18" customHeight="1" x14ac:dyDescent="0.35">
      <c r="A521" s="274">
        <f>MATCH(B521,STUDIES!$A$3:$A$502,0)</f>
        <v>42</v>
      </c>
      <c r="B521" s="270" t="s">
        <v>259</v>
      </c>
      <c r="C521" s="459"/>
      <c r="D521" s="278" t="s">
        <v>1093</v>
      </c>
      <c r="E521" s="256" t="s">
        <v>151</v>
      </c>
      <c r="F521" s="155" t="str">
        <f>_xlfn.XLOOKUP(B521,STUDIES!$A$3:$A$1063,STUDIES!$G$3:$G$1063,"Not Found!")</f>
        <v>A</v>
      </c>
      <c r="G521" s="257" t="s">
        <v>147</v>
      </c>
      <c r="H521" s="257">
        <v>12</v>
      </c>
      <c r="I521" s="299">
        <v>49</v>
      </c>
      <c r="J521" s="300"/>
      <c r="K521" s="263"/>
      <c r="L521" s="263"/>
      <c r="M521" s="263"/>
      <c r="N521" s="263"/>
      <c r="O521" s="263"/>
      <c r="P521" s="263"/>
      <c r="Q521" s="290" t="s">
        <v>90</v>
      </c>
      <c r="R521" s="280">
        <v>-12.16</v>
      </c>
      <c r="S521" s="259"/>
      <c r="T521" s="263">
        <v>9.9600000000000009</v>
      </c>
      <c r="U521" s="263"/>
      <c r="V521" s="263"/>
      <c r="W521" s="263"/>
      <c r="X521" s="264"/>
      <c r="Y521" s="259"/>
      <c r="Z521" s="259"/>
      <c r="AA521" s="259"/>
      <c r="AB521" s="259"/>
      <c r="AC521" s="259"/>
      <c r="AD521" s="264"/>
      <c r="AE521" s="259"/>
      <c r="AF521" s="259"/>
      <c r="AG521" s="259"/>
      <c r="AH521" s="259"/>
      <c r="AI521" s="259"/>
      <c r="AJ521" s="265"/>
      <c r="AK521" s="266"/>
      <c r="AL521" s="266"/>
      <c r="AM521" s="266"/>
      <c r="AN521" s="266"/>
      <c r="AO521" s="267"/>
      <c r="AP521" s="266"/>
      <c r="AQ521" s="266"/>
      <c r="AR521" s="266"/>
      <c r="AS521" s="266"/>
      <c r="AT521" s="266"/>
      <c r="AU521" s="267"/>
    </row>
    <row r="522" spans="1:47" ht="18" customHeight="1" x14ac:dyDescent="0.35">
      <c r="A522" s="274">
        <f>MATCH(B522,STUDIES!$A$3:$A$502,0)</f>
        <v>42</v>
      </c>
      <c r="B522" s="272" t="s">
        <v>259</v>
      </c>
      <c r="D522" s="278" t="s">
        <v>1093</v>
      </c>
      <c r="E522" s="272" t="s">
        <v>1163</v>
      </c>
      <c r="F522" s="155" t="str">
        <f>_xlfn.XLOOKUP(B522,STUDIES!$A$3:$A$1063,STUDIES!$G$3:$G$1063,"Not Found!")</f>
        <v>A</v>
      </c>
      <c r="G522" s="273" t="s">
        <v>147</v>
      </c>
      <c r="H522" s="273">
        <v>12</v>
      </c>
      <c r="I522" s="273">
        <v>56</v>
      </c>
      <c r="J522" s="274">
        <v>2</v>
      </c>
    </row>
    <row r="523" spans="1:47" ht="18" customHeight="1" x14ac:dyDescent="0.35">
      <c r="A523" s="274">
        <f>MATCH(B523,STUDIES!$A$3:$A$502,0)</f>
        <v>42</v>
      </c>
      <c r="B523" s="272" t="s">
        <v>259</v>
      </c>
      <c r="D523" s="281" t="s">
        <v>1093</v>
      </c>
      <c r="E523" s="272" t="s">
        <v>1167</v>
      </c>
      <c r="F523" s="155" t="str">
        <f>_xlfn.XLOOKUP(B523,STUDIES!$A$3:$A$1063,STUDIES!$G$3:$G$1063,"Not Found!")</f>
        <v>A</v>
      </c>
      <c r="G523" s="273" t="s">
        <v>147</v>
      </c>
      <c r="H523" s="273">
        <v>12</v>
      </c>
      <c r="I523" s="273">
        <v>56</v>
      </c>
      <c r="J523" s="274">
        <v>2</v>
      </c>
    </row>
    <row r="524" spans="1:47" ht="18" customHeight="1" x14ac:dyDescent="0.35">
      <c r="A524" s="274">
        <f>MATCH(B524,STUDIES!$A$3:$A$502,0)</f>
        <v>42</v>
      </c>
      <c r="B524" s="272" t="s">
        <v>259</v>
      </c>
      <c r="D524" s="281" t="s">
        <v>148</v>
      </c>
      <c r="E524" s="272" t="s">
        <v>1163</v>
      </c>
      <c r="F524" s="155" t="str">
        <f>_xlfn.XLOOKUP(B524,STUDIES!$A$3:$A$1063,STUDIES!$G$3:$G$1063,"Not Found!")</f>
        <v>A</v>
      </c>
      <c r="G524" s="273" t="s">
        <v>147</v>
      </c>
      <c r="H524" s="273">
        <v>12</v>
      </c>
      <c r="I524" s="273">
        <v>55</v>
      </c>
      <c r="J524" s="274">
        <v>3</v>
      </c>
    </row>
    <row r="525" spans="1:47" ht="18" customHeight="1" x14ac:dyDescent="0.35">
      <c r="A525" s="274">
        <f>MATCH(B525,STUDIES!$A$3:$A$502,0)</f>
        <v>42</v>
      </c>
      <c r="B525" s="272" t="s">
        <v>259</v>
      </c>
      <c r="D525" s="281" t="s">
        <v>148</v>
      </c>
      <c r="E525" s="272" t="s">
        <v>1167</v>
      </c>
      <c r="F525" s="155" t="str">
        <f>_xlfn.XLOOKUP(B525,STUDIES!$A$3:$A$1063,STUDIES!$G$3:$G$1063,"Not Found!")</f>
        <v>A</v>
      </c>
      <c r="G525" s="273" t="s">
        <v>147</v>
      </c>
      <c r="H525" s="273">
        <v>12</v>
      </c>
      <c r="I525" s="273">
        <v>55</v>
      </c>
      <c r="J525" s="274">
        <v>4</v>
      </c>
    </row>
    <row r="526" spans="1:47" ht="18" customHeight="1" x14ac:dyDescent="0.35">
      <c r="A526" s="274">
        <f>MATCH(B526,STUDIES!$A$3:$A$502,0)</f>
        <v>43</v>
      </c>
      <c r="B526" s="321" t="s">
        <v>883</v>
      </c>
      <c r="C526" s="462"/>
      <c r="D526" s="316" t="s">
        <v>1088</v>
      </c>
      <c r="E526" s="272" t="s">
        <v>787</v>
      </c>
      <c r="F526" s="155" t="str">
        <f>_xlfn.XLOOKUP(B526,STUDIES!$A$3:$A$1063,STUDIES!$G$3:$G$1063,"Not Found!")</f>
        <v>A</v>
      </c>
      <c r="G526" s="273" t="s">
        <v>147</v>
      </c>
      <c r="H526" s="273">
        <v>12</v>
      </c>
      <c r="I526" s="273">
        <v>32</v>
      </c>
      <c r="Q526" s="282" t="s">
        <v>90</v>
      </c>
      <c r="R526" s="312">
        <v>-6.4</v>
      </c>
      <c r="S526" s="294">
        <v>0.739795918</v>
      </c>
      <c r="U526" s="325">
        <v>-7.9</v>
      </c>
      <c r="V526" s="293">
        <v>-5</v>
      </c>
      <c r="W526" s="294">
        <v>0.95</v>
      </c>
    </row>
    <row r="527" spans="1:47" ht="18" customHeight="1" x14ac:dyDescent="0.35">
      <c r="A527" s="274">
        <f>MATCH(B527,STUDIES!$A$3:$A$502,0)</f>
        <v>43</v>
      </c>
      <c r="B527" s="321" t="s">
        <v>883</v>
      </c>
      <c r="C527" s="462"/>
      <c r="D527" s="316" t="s">
        <v>1088</v>
      </c>
      <c r="E527" s="272" t="s">
        <v>786</v>
      </c>
      <c r="F527" s="155" t="str">
        <f>_xlfn.XLOOKUP(B527,STUDIES!$A$3:$A$1063,STUDIES!$G$3:$G$1063,"Not Found!")</f>
        <v>A</v>
      </c>
      <c r="G527" s="273" t="s">
        <v>147</v>
      </c>
      <c r="H527" s="273">
        <v>12</v>
      </c>
      <c r="I527" s="273">
        <v>121</v>
      </c>
      <c r="Q527" s="282" t="s">
        <v>90</v>
      </c>
      <c r="R527" s="312">
        <v>-7</v>
      </c>
      <c r="S527" s="294">
        <v>0.586734694</v>
      </c>
      <c r="U527" s="293">
        <v>-8.1</v>
      </c>
      <c r="V527" s="293">
        <v>-5.8</v>
      </c>
      <c r="W527" s="294">
        <v>0.95</v>
      </c>
    </row>
    <row r="528" spans="1:47" ht="18" customHeight="1" x14ac:dyDescent="0.35">
      <c r="A528" s="274">
        <f>MATCH(B528,STUDIES!$A$3:$A$502,0)</f>
        <v>43</v>
      </c>
      <c r="B528" s="321" t="s">
        <v>883</v>
      </c>
      <c r="C528" s="462"/>
      <c r="D528" s="316" t="s">
        <v>1088</v>
      </c>
      <c r="E528" s="272" t="s">
        <v>151</v>
      </c>
      <c r="F528" s="155" t="str">
        <f>_xlfn.XLOOKUP(B528,STUDIES!$A$3:$A$1063,STUDIES!$G$3:$G$1063,"Not Found!")</f>
        <v>A</v>
      </c>
      <c r="G528" s="273" t="s">
        <v>147</v>
      </c>
      <c r="H528" s="273">
        <v>12</v>
      </c>
      <c r="I528" s="273">
        <v>156</v>
      </c>
      <c r="K528" s="268">
        <v>31.3</v>
      </c>
      <c r="L528" s="268">
        <v>13.6</v>
      </c>
      <c r="Q528" s="282" t="s">
        <v>90</v>
      </c>
      <c r="R528" s="283">
        <v>-16.600000000000001</v>
      </c>
      <c r="S528" s="294">
        <v>0.94387755100000004</v>
      </c>
      <c r="U528" s="293">
        <v>-18.399999999999999</v>
      </c>
      <c r="V528" s="293">
        <v>-14.7</v>
      </c>
      <c r="W528" s="294">
        <v>0.95</v>
      </c>
    </row>
    <row r="529" spans="1:23" ht="18" customHeight="1" x14ac:dyDescent="0.35">
      <c r="A529" s="274">
        <f>MATCH(B529,STUDIES!$A$3:$A$502,0)</f>
        <v>43</v>
      </c>
      <c r="B529" s="321" t="s">
        <v>883</v>
      </c>
      <c r="C529" s="462"/>
      <c r="D529" s="316" t="s">
        <v>1088</v>
      </c>
      <c r="E529" s="272" t="s">
        <v>153</v>
      </c>
      <c r="F529" s="155" t="str">
        <f>_xlfn.XLOOKUP(B529,STUDIES!$A$3:$A$1063,STUDIES!$G$3:$G$1063,"Not Found!")</f>
        <v>A</v>
      </c>
      <c r="G529" s="273" t="s">
        <v>147</v>
      </c>
      <c r="H529" s="273">
        <v>12</v>
      </c>
      <c r="I529" s="273">
        <v>153</v>
      </c>
      <c r="Q529" s="282" t="s">
        <v>90</v>
      </c>
      <c r="R529" s="283">
        <v>-6.8</v>
      </c>
      <c r="S529" s="294">
        <v>0.61224489800000004</v>
      </c>
      <c r="U529" s="293">
        <v>-8</v>
      </c>
      <c r="V529" s="293">
        <v>-5.6</v>
      </c>
      <c r="W529" s="294">
        <v>0.95</v>
      </c>
    </row>
    <row r="530" spans="1:23" ht="18" customHeight="1" x14ac:dyDescent="0.35">
      <c r="A530" s="274">
        <f>MATCH(B530,STUDIES!$A$3:$A$502,0)</f>
        <v>43</v>
      </c>
      <c r="B530" s="321" t="s">
        <v>883</v>
      </c>
      <c r="C530" s="462"/>
      <c r="D530" s="316" t="s">
        <v>1088</v>
      </c>
      <c r="E530" s="272" t="s">
        <v>695</v>
      </c>
      <c r="F530" s="155" t="str">
        <f>_xlfn.XLOOKUP(B530,STUDIES!$A$3:$A$1063,STUDIES!$G$3:$G$1063,"Not Found!")</f>
        <v>A</v>
      </c>
      <c r="G530" s="273" t="s">
        <v>147</v>
      </c>
      <c r="H530" s="273">
        <v>12</v>
      </c>
      <c r="I530" s="273">
        <v>147</v>
      </c>
      <c r="K530" s="268">
        <v>6.9</v>
      </c>
      <c r="M530" s="268">
        <v>2</v>
      </c>
      <c r="Q530" s="282" t="s">
        <v>90</v>
      </c>
      <c r="R530" s="283">
        <v>-2.9</v>
      </c>
      <c r="U530" s="293">
        <v>-3.5</v>
      </c>
      <c r="V530" s="293">
        <v>-2.5</v>
      </c>
      <c r="W530" s="294">
        <v>0.95</v>
      </c>
    </row>
    <row r="531" spans="1:23" ht="18" customHeight="1" x14ac:dyDescent="0.35">
      <c r="A531" s="274">
        <f>MATCH(B531,STUDIES!$A$3:$A$502,0)</f>
        <v>43</v>
      </c>
      <c r="B531" s="272" t="s">
        <v>883</v>
      </c>
      <c r="D531" s="281" t="s">
        <v>1088</v>
      </c>
      <c r="E531" s="272" t="s">
        <v>1163</v>
      </c>
      <c r="F531" s="155" t="str">
        <f>_xlfn.XLOOKUP(B531,STUDIES!$A$3:$A$1063,STUDIES!$G$3:$G$1063,"Not Found!")</f>
        <v>A</v>
      </c>
      <c r="G531" s="273" t="s">
        <v>147</v>
      </c>
      <c r="H531" s="273">
        <v>12</v>
      </c>
      <c r="I531" s="273">
        <v>156</v>
      </c>
      <c r="J531" s="274">
        <v>5</v>
      </c>
    </row>
    <row r="532" spans="1:23" ht="18" customHeight="1" x14ac:dyDescent="0.35">
      <c r="A532" s="274">
        <f>MATCH(B532,STUDIES!$A$3:$A$502,0)</f>
        <v>43</v>
      </c>
      <c r="B532" s="272" t="s">
        <v>883</v>
      </c>
      <c r="D532" s="281" t="s">
        <v>1088</v>
      </c>
      <c r="E532" s="272" t="s">
        <v>1167</v>
      </c>
      <c r="F532" s="155" t="str">
        <f>_xlfn.XLOOKUP(B532,STUDIES!$A$3:$A$1063,STUDIES!$G$3:$G$1063,"Not Found!")</f>
        <v>A</v>
      </c>
      <c r="G532" s="273" t="s">
        <v>147</v>
      </c>
      <c r="H532" s="273">
        <v>12</v>
      </c>
      <c r="I532" s="273">
        <v>156</v>
      </c>
      <c r="J532" s="274">
        <v>9</v>
      </c>
    </row>
    <row r="533" spans="1:23" ht="18" customHeight="1" x14ac:dyDescent="0.35">
      <c r="A533" s="274">
        <f>MATCH(B533,STUDIES!$A$3:$A$502,0)</f>
        <v>43</v>
      </c>
      <c r="B533" s="321" t="s">
        <v>883</v>
      </c>
      <c r="C533" s="462"/>
      <c r="D533" s="311" t="s">
        <v>1089</v>
      </c>
      <c r="E533" s="272" t="s">
        <v>787</v>
      </c>
      <c r="F533" s="155" t="str">
        <f>_xlfn.XLOOKUP(B533,STUDIES!$A$3:$A$1063,STUDIES!$G$3:$G$1063,"Not Found!")</f>
        <v>A</v>
      </c>
      <c r="G533" s="273" t="s">
        <v>147</v>
      </c>
      <c r="H533" s="273">
        <v>12</v>
      </c>
      <c r="I533" s="273">
        <v>32</v>
      </c>
      <c r="Q533" s="282" t="s">
        <v>90</v>
      </c>
      <c r="R533" s="312">
        <v>-7.5</v>
      </c>
      <c r="S533" s="294">
        <v>0.739795918</v>
      </c>
      <c r="U533" s="293">
        <v>-8.9</v>
      </c>
      <c r="V533" s="293">
        <v>-6</v>
      </c>
      <c r="W533" s="294">
        <v>0.95</v>
      </c>
    </row>
    <row r="534" spans="1:23" ht="18" customHeight="1" x14ac:dyDescent="0.35">
      <c r="A534" s="274">
        <f>MATCH(B534,STUDIES!$A$3:$A$502,0)</f>
        <v>43</v>
      </c>
      <c r="B534" s="321" t="s">
        <v>883</v>
      </c>
      <c r="C534" s="462"/>
      <c r="D534" s="311" t="s">
        <v>1089</v>
      </c>
      <c r="E534" s="272" t="s">
        <v>786</v>
      </c>
      <c r="F534" s="155" t="str">
        <f>_xlfn.XLOOKUP(B534,STUDIES!$A$3:$A$1063,STUDIES!$G$3:$G$1063,"Not Found!")</f>
        <v>A</v>
      </c>
      <c r="G534" s="273" t="s">
        <v>147</v>
      </c>
      <c r="H534" s="273">
        <v>12</v>
      </c>
      <c r="I534" s="273">
        <v>119</v>
      </c>
      <c r="Q534" s="282" t="s">
        <v>90</v>
      </c>
      <c r="R534" s="312">
        <v>-9.1</v>
      </c>
      <c r="S534" s="294">
        <v>0.586734694</v>
      </c>
      <c r="U534" s="293">
        <v>-10.3</v>
      </c>
      <c r="V534" s="293">
        <v>-8</v>
      </c>
      <c r="W534" s="294">
        <v>0.95</v>
      </c>
    </row>
    <row r="535" spans="1:23" ht="18" customHeight="1" x14ac:dyDescent="0.35">
      <c r="A535" s="274">
        <f>MATCH(B535,STUDIES!$A$3:$A$502,0)</f>
        <v>43</v>
      </c>
      <c r="B535" s="321" t="s">
        <v>883</v>
      </c>
      <c r="C535" s="462"/>
      <c r="D535" s="311" t="s">
        <v>1089</v>
      </c>
      <c r="E535" s="272" t="s">
        <v>151</v>
      </c>
      <c r="F535" s="155" t="str">
        <f>_xlfn.XLOOKUP(B535,STUDIES!$A$3:$A$1063,STUDIES!$G$3:$G$1063,"Not Found!")</f>
        <v>A</v>
      </c>
      <c r="G535" s="273" t="s">
        <v>147</v>
      </c>
      <c r="H535" s="273">
        <v>12</v>
      </c>
      <c r="I535" s="273">
        <v>154</v>
      </c>
      <c r="K535" s="268">
        <v>30.6</v>
      </c>
      <c r="L535" s="268">
        <v>14.1</v>
      </c>
      <c r="Q535" s="282" t="s">
        <v>90</v>
      </c>
      <c r="R535" s="283">
        <v>-22.3</v>
      </c>
      <c r="S535" s="294">
        <v>0.94387755100000004</v>
      </c>
      <c r="U535" s="293">
        <v>-24.1</v>
      </c>
      <c r="V535" s="293">
        <v>-20.399999999999999</v>
      </c>
      <c r="W535" s="294">
        <v>0.95</v>
      </c>
    </row>
    <row r="536" spans="1:23" ht="18" customHeight="1" x14ac:dyDescent="0.35">
      <c r="A536" s="274">
        <f>MATCH(B536,STUDIES!$A$3:$A$502,0)</f>
        <v>43</v>
      </c>
      <c r="B536" s="321" t="s">
        <v>883</v>
      </c>
      <c r="C536" s="462"/>
      <c r="D536" s="311" t="s">
        <v>1089</v>
      </c>
      <c r="E536" s="272" t="s">
        <v>153</v>
      </c>
      <c r="F536" s="155" t="str">
        <f>_xlfn.XLOOKUP(B536,STUDIES!$A$3:$A$1063,STUDIES!$G$3:$G$1063,"Not Found!")</f>
        <v>A</v>
      </c>
      <c r="G536" s="273" t="s">
        <v>147</v>
      </c>
      <c r="H536" s="273">
        <v>12</v>
      </c>
      <c r="I536" s="273">
        <v>153</v>
      </c>
      <c r="Q536" s="282" t="s">
        <v>90</v>
      </c>
      <c r="R536" s="283">
        <v>-10.6</v>
      </c>
      <c r="S536" s="294">
        <v>0.61224489800000004</v>
      </c>
      <c r="U536" s="293">
        <v>-11.8</v>
      </c>
      <c r="V536" s="293">
        <v>-9.4</v>
      </c>
      <c r="W536" s="294">
        <v>0.95</v>
      </c>
    </row>
    <row r="537" spans="1:23" ht="18" customHeight="1" x14ac:dyDescent="0.35">
      <c r="A537" s="274">
        <f>MATCH(B537,STUDIES!$A$3:$A$502,0)</f>
        <v>43</v>
      </c>
      <c r="B537" s="321" t="s">
        <v>883</v>
      </c>
      <c r="C537" s="462"/>
      <c r="D537" s="311" t="s">
        <v>1089</v>
      </c>
      <c r="E537" s="272" t="s">
        <v>695</v>
      </c>
      <c r="F537" s="155" t="str">
        <f>_xlfn.XLOOKUP(B537,STUDIES!$A$3:$A$1063,STUDIES!$G$3:$G$1063,"Not Found!")</f>
        <v>A</v>
      </c>
      <c r="G537" s="273" t="s">
        <v>147</v>
      </c>
      <c r="H537" s="273">
        <v>12</v>
      </c>
      <c r="I537" s="273">
        <v>147</v>
      </c>
      <c r="K537" s="268">
        <v>7.1</v>
      </c>
      <c r="M537" s="268">
        <v>1.9</v>
      </c>
      <c r="Q537" s="282" t="s">
        <v>90</v>
      </c>
      <c r="R537" s="283">
        <v>-3.9</v>
      </c>
      <c r="U537" s="293">
        <v>-4.8</v>
      </c>
      <c r="V537" s="293">
        <v>-3.9</v>
      </c>
      <c r="W537" s="294">
        <v>0.95</v>
      </c>
    </row>
    <row r="538" spans="1:23" ht="18" customHeight="1" x14ac:dyDescent="0.35">
      <c r="A538" s="274">
        <f>MATCH(B538,STUDIES!$A$3:$A$502,0)</f>
        <v>43</v>
      </c>
      <c r="B538" s="272" t="s">
        <v>883</v>
      </c>
      <c r="D538" s="281" t="s">
        <v>1089</v>
      </c>
      <c r="E538" s="272" t="s">
        <v>1163</v>
      </c>
      <c r="F538" s="155" t="str">
        <f>_xlfn.XLOOKUP(B538,STUDIES!$A$3:$A$1063,STUDIES!$G$3:$G$1063,"Not Found!")</f>
        <v>A</v>
      </c>
      <c r="G538" s="273" t="s">
        <v>147</v>
      </c>
      <c r="H538" s="273">
        <v>12</v>
      </c>
      <c r="I538" s="273">
        <v>154</v>
      </c>
      <c r="J538" s="274">
        <v>5</v>
      </c>
    </row>
    <row r="539" spans="1:23" ht="18" customHeight="1" x14ac:dyDescent="0.35">
      <c r="A539" s="274">
        <f>MATCH(B539,STUDIES!$A$3:$A$502,0)</f>
        <v>43</v>
      </c>
      <c r="B539" s="272" t="s">
        <v>883</v>
      </c>
      <c r="D539" s="281" t="s">
        <v>1089</v>
      </c>
      <c r="E539" s="272" t="s">
        <v>1167</v>
      </c>
      <c r="F539" s="155" t="str">
        <f>_xlfn.XLOOKUP(B539,STUDIES!$A$3:$A$1063,STUDIES!$G$3:$G$1063,"Not Found!")</f>
        <v>A</v>
      </c>
      <c r="G539" s="273" t="s">
        <v>147</v>
      </c>
      <c r="H539" s="273">
        <v>12</v>
      </c>
      <c r="I539" s="273">
        <v>154</v>
      </c>
      <c r="J539" s="274">
        <v>9</v>
      </c>
    </row>
    <row r="540" spans="1:23" ht="18" customHeight="1" x14ac:dyDescent="0.35">
      <c r="A540" s="274">
        <f>MATCH(B540,STUDIES!$A$3:$A$502,0)</f>
        <v>43</v>
      </c>
      <c r="B540" s="321" t="s">
        <v>883</v>
      </c>
      <c r="C540" s="462"/>
      <c r="D540" s="311" t="s">
        <v>148</v>
      </c>
      <c r="E540" s="272" t="s">
        <v>787</v>
      </c>
      <c r="F540" s="155" t="str">
        <f>_xlfn.XLOOKUP(B540,STUDIES!$A$3:$A$1063,STUDIES!$G$3:$G$1063,"Not Found!")</f>
        <v>A</v>
      </c>
      <c r="G540" s="273" t="s">
        <v>147</v>
      </c>
      <c r="H540" s="273">
        <v>12</v>
      </c>
      <c r="I540" s="273">
        <v>16</v>
      </c>
      <c r="Q540" s="282" t="s">
        <v>90</v>
      </c>
      <c r="R540" s="312">
        <v>-3.9</v>
      </c>
      <c r="S540" s="294">
        <v>1.1224489799999999</v>
      </c>
      <c r="U540" s="293">
        <v>-6.1</v>
      </c>
      <c r="V540" s="293">
        <v>-1.7</v>
      </c>
      <c r="W540" s="294">
        <v>0.95</v>
      </c>
    </row>
    <row r="541" spans="1:23" ht="18" customHeight="1" x14ac:dyDescent="0.35">
      <c r="A541" s="274">
        <f>MATCH(B541,STUDIES!$A$3:$A$502,0)</f>
        <v>43</v>
      </c>
      <c r="B541" s="321" t="s">
        <v>883</v>
      </c>
      <c r="C541" s="462"/>
      <c r="D541" s="311" t="s">
        <v>148</v>
      </c>
      <c r="E541" s="272" t="s">
        <v>786</v>
      </c>
      <c r="F541" s="155" t="str">
        <f>_xlfn.XLOOKUP(B541,STUDIES!$A$3:$A$1063,STUDIES!$G$3:$G$1063,"Not Found!")</f>
        <v>A</v>
      </c>
      <c r="G541" s="273" t="s">
        <v>147</v>
      </c>
      <c r="H541" s="273">
        <v>12</v>
      </c>
      <c r="I541" s="273">
        <v>60</v>
      </c>
      <c r="Q541" s="282" t="s">
        <v>90</v>
      </c>
      <c r="R541" s="312">
        <v>-4.2</v>
      </c>
      <c r="S541" s="294">
        <v>0.86734693900000004</v>
      </c>
      <c r="U541" s="293">
        <v>-5.9</v>
      </c>
      <c r="V541" s="293">
        <v>-2.5</v>
      </c>
      <c r="W541" s="294">
        <v>0.95</v>
      </c>
    </row>
    <row r="542" spans="1:23" ht="18" customHeight="1" x14ac:dyDescent="0.35">
      <c r="A542" s="274">
        <f>MATCH(B542,STUDIES!$A$3:$A$502,0)</f>
        <v>43</v>
      </c>
      <c r="B542" s="321" t="s">
        <v>883</v>
      </c>
      <c r="C542" s="462"/>
      <c r="D542" s="311" t="s">
        <v>148</v>
      </c>
      <c r="E542" s="272" t="s">
        <v>151</v>
      </c>
      <c r="F542" s="155" t="str">
        <f>_xlfn.XLOOKUP(B542,STUDIES!$A$3:$A$1063,STUDIES!$G$3:$G$1063,"Not Found!")</f>
        <v>A</v>
      </c>
      <c r="G542" s="273" t="s">
        <v>147</v>
      </c>
      <c r="H542" s="273">
        <v>12</v>
      </c>
      <c r="I542" s="273">
        <v>77</v>
      </c>
      <c r="K542" s="268">
        <v>28.7</v>
      </c>
      <c r="L542" s="268">
        <v>12.5</v>
      </c>
      <c r="Q542" s="282" t="s">
        <v>90</v>
      </c>
      <c r="R542" s="283">
        <v>-8.1999999999999993</v>
      </c>
      <c r="S542" s="294">
        <v>1.3775510200000001</v>
      </c>
      <c r="U542" s="293">
        <v>-10.9</v>
      </c>
      <c r="V542" s="293">
        <v>-5.5</v>
      </c>
      <c r="W542" s="294">
        <v>0.95</v>
      </c>
    </row>
    <row r="543" spans="1:23" ht="18" customHeight="1" x14ac:dyDescent="0.35">
      <c r="A543" s="274">
        <f>MATCH(B543,STUDIES!$A$3:$A$502,0)</f>
        <v>43</v>
      </c>
      <c r="B543" s="321" t="s">
        <v>883</v>
      </c>
      <c r="C543" s="462"/>
      <c r="D543" s="311" t="s">
        <v>148</v>
      </c>
      <c r="E543" s="272" t="s">
        <v>153</v>
      </c>
      <c r="F543" s="155" t="str">
        <f>_xlfn.XLOOKUP(B543,STUDIES!$A$3:$A$1063,STUDIES!$G$3:$G$1063,"Not Found!")</f>
        <v>A</v>
      </c>
      <c r="G543" s="273" t="s">
        <v>147</v>
      </c>
      <c r="H543" s="273">
        <v>12</v>
      </c>
      <c r="I543" s="273">
        <v>77</v>
      </c>
      <c r="Q543" s="282" t="s">
        <v>90</v>
      </c>
      <c r="R543" s="283">
        <v>-3.7</v>
      </c>
      <c r="S543" s="294">
        <v>0.918367347</v>
      </c>
      <c r="U543" s="293">
        <v>-5.5</v>
      </c>
      <c r="V543" s="293">
        <v>-1.9</v>
      </c>
      <c r="W543" s="294">
        <v>0.95</v>
      </c>
    </row>
    <row r="544" spans="1:23" ht="18" customHeight="1" x14ac:dyDescent="0.35">
      <c r="A544" s="274">
        <f>MATCH(B544,STUDIES!$A$3:$A$502,0)</f>
        <v>43</v>
      </c>
      <c r="B544" s="321" t="s">
        <v>883</v>
      </c>
      <c r="C544" s="462"/>
      <c r="D544" s="311" t="s">
        <v>148</v>
      </c>
      <c r="E544" s="272" t="s">
        <v>695</v>
      </c>
      <c r="F544" s="155" t="str">
        <f>_xlfn.XLOOKUP(B544,STUDIES!$A$3:$A$1063,STUDIES!$G$3:$G$1063,"Not Found!")</f>
        <v>A</v>
      </c>
      <c r="G544" s="273" t="s">
        <v>147</v>
      </c>
      <c r="H544" s="273">
        <v>12</v>
      </c>
      <c r="I544" s="273">
        <v>74</v>
      </c>
      <c r="K544" s="268">
        <v>7</v>
      </c>
      <c r="M544" s="268">
        <v>1.8</v>
      </c>
      <c r="Q544" s="282" t="s">
        <v>90</v>
      </c>
      <c r="R544" s="283">
        <v>-1.4</v>
      </c>
      <c r="U544" s="293">
        <v>-2.2000000000000002</v>
      </c>
      <c r="V544" s="293">
        <v>-0.9</v>
      </c>
      <c r="W544" s="294">
        <v>0.95</v>
      </c>
    </row>
    <row r="545" spans="1:47" ht="18" customHeight="1" x14ac:dyDescent="0.35">
      <c r="A545" s="274">
        <f>MATCH(B545,STUDIES!$A$3:$A$502,0)</f>
        <v>43</v>
      </c>
      <c r="B545" s="272" t="s">
        <v>883</v>
      </c>
      <c r="D545" s="281" t="s">
        <v>148</v>
      </c>
      <c r="E545" s="272" t="s">
        <v>1163</v>
      </c>
      <c r="F545" s="155" t="str">
        <f>_xlfn.XLOOKUP(B545,STUDIES!$A$3:$A$1063,STUDIES!$G$3:$G$1063,"Not Found!")</f>
        <v>A</v>
      </c>
      <c r="G545" s="273" t="s">
        <v>147</v>
      </c>
      <c r="H545" s="273">
        <v>12</v>
      </c>
      <c r="I545" s="273">
        <v>77</v>
      </c>
      <c r="J545" s="274">
        <v>3</v>
      </c>
    </row>
    <row r="546" spans="1:47" ht="18" customHeight="1" x14ac:dyDescent="0.35">
      <c r="A546" s="274">
        <f>MATCH(B546,STUDIES!$A$3:$A$502,0)</f>
        <v>43</v>
      </c>
      <c r="B546" s="272" t="s">
        <v>883</v>
      </c>
      <c r="D546" s="281" t="s">
        <v>148</v>
      </c>
      <c r="E546" s="272" t="s">
        <v>1167</v>
      </c>
      <c r="F546" s="155" t="str">
        <f>_xlfn.XLOOKUP(B546,STUDIES!$A$3:$A$1063,STUDIES!$G$3:$G$1063,"Not Found!")</f>
        <v>A</v>
      </c>
      <c r="G546" s="273" t="s">
        <v>147</v>
      </c>
      <c r="H546" s="273">
        <v>12</v>
      </c>
      <c r="I546" s="273">
        <v>77</v>
      </c>
      <c r="J546" s="274">
        <v>7</v>
      </c>
    </row>
    <row r="547" spans="1:47" ht="18" customHeight="1" x14ac:dyDescent="0.35">
      <c r="A547" s="274">
        <f>MATCH(B547,STUDIES!$A$3:$A$502,0)</f>
        <v>44</v>
      </c>
      <c r="B547" s="310" t="s">
        <v>748</v>
      </c>
      <c r="C547" s="460"/>
      <c r="D547" s="326" t="s">
        <v>1058</v>
      </c>
      <c r="E547" s="434" t="s">
        <v>694</v>
      </c>
      <c r="F547" s="155" t="str">
        <f>_xlfn.XLOOKUP(B547,STUDIES!$A$3:$A$1063,STUDIES!$G$3:$G$1063,"Not Found!")</f>
        <v>BC</v>
      </c>
      <c r="G547" s="257" t="s">
        <v>147</v>
      </c>
      <c r="H547" s="257">
        <v>16</v>
      </c>
      <c r="I547" s="257">
        <v>82</v>
      </c>
      <c r="J547" s="258"/>
      <c r="K547" s="259">
        <v>13</v>
      </c>
      <c r="L547" s="259"/>
      <c r="M547" s="259">
        <v>6.2</v>
      </c>
      <c r="N547" s="259"/>
      <c r="O547" s="259"/>
      <c r="P547" s="259"/>
      <c r="Q547" s="279" t="s">
        <v>782</v>
      </c>
      <c r="R547" s="289">
        <v>-8.5</v>
      </c>
      <c r="S547" s="259">
        <v>0.5</v>
      </c>
      <c r="T547" s="259"/>
      <c r="U547" s="259"/>
      <c r="V547" s="259"/>
      <c r="W547" s="259"/>
      <c r="X547" s="264">
        <v>5</v>
      </c>
      <c r="Y547" s="259"/>
      <c r="Z547" s="259">
        <v>4.0999999999999996</v>
      </c>
      <c r="AA547" s="259"/>
      <c r="AB547" s="259"/>
      <c r="AC547" s="259"/>
      <c r="AD547" s="264"/>
      <c r="AE547" s="259"/>
      <c r="AF547" s="259"/>
      <c r="AG547" s="259"/>
      <c r="AH547" s="259"/>
      <c r="AI547" s="259"/>
      <c r="AJ547" s="265"/>
      <c r="AK547" s="266"/>
      <c r="AL547" s="266"/>
      <c r="AM547" s="266"/>
      <c r="AN547" s="266"/>
      <c r="AO547" s="267"/>
      <c r="AP547" s="266"/>
      <c r="AQ547" s="266"/>
      <c r="AR547" s="266"/>
      <c r="AS547" s="266"/>
      <c r="AT547" s="266"/>
      <c r="AU547" s="267"/>
    </row>
    <row r="548" spans="1:47" ht="18" customHeight="1" x14ac:dyDescent="0.35">
      <c r="A548" s="274">
        <f>MATCH(B548,STUDIES!$A$3:$A$502,0)</f>
        <v>44</v>
      </c>
      <c r="B548" s="310" t="s">
        <v>748</v>
      </c>
      <c r="C548" s="460"/>
      <c r="D548" s="269" t="s">
        <v>1058</v>
      </c>
      <c r="E548" s="256" t="s">
        <v>151</v>
      </c>
      <c r="F548" s="155" t="str">
        <f>_xlfn.XLOOKUP(B548,STUDIES!$A$3:$A$1063,STUDIES!$G$3:$G$1063,"Not Found!")</f>
        <v>BC</v>
      </c>
      <c r="G548" s="257" t="s">
        <v>147</v>
      </c>
      <c r="H548" s="257">
        <v>16</v>
      </c>
      <c r="I548" s="257">
        <v>82</v>
      </c>
      <c r="J548" s="258"/>
      <c r="K548" s="259">
        <v>35.299999999999997</v>
      </c>
      <c r="L548" s="259"/>
      <c r="M548" s="259">
        <v>13.8</v>
      </c>
      <c r="N548" s="259"/>
      <c r="O548" s="259"/>
      <c r="P548" s="259"/>
      <c r="Q548" s="279" t="s">
        <v>780</v>
      </c>
      <c r="R548" s="289"/>
      <c r="S548" s="259"/>
      <c r="T548" s="259"/>
      <c r="U548" s="259"/>
      <c r="V548" s="259"/>
      <c r="W548" s="259"/>
      <c r="X548" s="264">
        <v>13</v>
      </c>
      <c r="Y548" s="259"/>
      <c r="Z548" s="259">
        <v>12.6</v>
      </c>
      <c r="AA548" s="259"/>
      <c r="AB548" s="259"/>
      <c r="AC548" s="259"/>
      <c r="AD548" s="264"/>
      <c r="AE548" s="259"/>
      <c r="AF548" s="259"/>
      <c r="AG548" s="259"/>
      <c r="AH548" s="259"/>
      <c r="AI548" s="259"/>
      <c r="AJ548" s="265">
        <v>-65.900000000000006</v>
      </c>
      <c r="AK548" s="266">
        <v>4</v>
      </c>
      <c r="AL548" s="266"/>
      <c r="AM548" s="266"/>
      <c r="AN548" s="266"/>
      <c r="AO548" s="267"/>
      <c r="AP548" s="266"/>
      <c r="AQ548" s="266"/>
      <c r="AR548" s="266"/>
      <c r="AS548" s="266"/>
      <c r="AT548" s="266"/>
      <c r="AU548" s="267"/>
    </row>
    <row r="549" spans="1:47" ht="18" customHeight="1" x14ac:dyDescent="0.35">
      <c r="A549" s="274">
        <f>MATCH(B549,STUDIES!$A$3:$A$502,0)</f>
        <v>44</v>
      </c>
      <c r="B549" s="310" t="s">
        <v>748</v>
      </c>
      <c r="C549" s="460"/>
      <c r="D549" s="269" t="s">
        <v>1058</v>
      </c>
      <c r="E549" s="256" t="s">
        <v>153</v>
      </c>
      <c r="F549" s="155" t="str">
        <f>_xlfn.XLOOKUP(B549,STUDIES!$A$3:$A$1063,STUDIES!$G$3:$G$1063,"Not Found!")</f>
        <v>BC</v>
      </c>
      <c r="G549" s="257" t="s">
        <v>147</v>
      </c>
      <c r="H549" s="257">
        <v>16</v>
      </c>
      <c r="I549" s="257">
        <v>82</v>
      </c>
      <c r="J549" s="258"/>
      <c r="K549" s="259">
        <v>21</v>
      </c>
      <c r="L549" s="259"/>
      <c r="M549" s="259">
        <v>5</v>
      </c>
      <c r="N549" s="259"/>
      <c r="O549" s="259"/>
      <c r="P549" s="259"/>
      <c r="Q549" s="279" t="s">
        <v>782</v>
      </c>
      <c r="R549" s="289">
        <v>-10.1</v>
      </c>
      <c r="S549" s="259">
        <v>0.8</v>
      </c>
      <c r="T549" s="259"/>
      <c r="U549" s="259"/>
      <c r="V549" s="259"/>
      <c r="W549" s="259"/>
      <c r="X549" s="264">
        <v>10.8</v>
      </c>
      <c r="Y549" s="259"/>
      <c r="Z549" s="259">
        <v>6.9</v>
      </c>
      <c r="AA549" s="259"/>
      <c r="AB549" s="259"/>
      <c r="AC549" s="259"/>
      <c r="AD549" s="264"/>
      <c r="AE549" s="259"/>
      <c r="AF549" s="259"/>
      <c r="AG549" s="259"/>
      <c r="AH549" s="259"/>
      <c r="AI549" s="259"/>
      <c r="AJ549" s="265"/>
      <c r="AK549" s="266"/>
      <c r="AL549" s="266"/>
      <c r="AM549" s="266"/>
      <c r="AN549" s="266"/>
      <c r="AO549" s="267"/>
      <c r="AP549" s="266"/>
      <c r="AQ549" s="266"/>
      <c r="AR549" s="266"/>
      <c r="AS549" s="266"/>
      <c r="AT549" s="266"/>
      <c r="AU549" s="267"/>
    </row>
    <row r="550" spans="1:47" ht="18" customHeight="1" x14ac:dyDescent="0.35">
      <c r="A550" s="274">
        <f>MATCH(B550,STUDIES!$A$3:$A$502,0)</f>
        <v>44</v>
      </c>
      <c r="B550" s="310" t="s">
        <v>748</v>
      </c>
      <c r="C550" s="460"/>
      <c r="D550" s="326" t="s">
        <v>1058</v>
      </c>
      <c r="E550" s="434" t="s">
        <v>695</v>
      </c>
      <c r="F550" s="155" t="str">
        <f>_xlfn.XLOOKUP(B550,STUDIES!$A$3:$A$1063,STUDIES!$G$3:$G$1063,"Not Found!")</f>
        <v>BC</v>
      </c>
      <c r="G550" s="327" t="s">
        <v>147</v>
      </c>
      <c r="H550" s="327">
        <v>16</v>
      </c>
      <c r="I550" s="327">
        <v>82</v>
      </c>
      <c r="J550" s="328"/>
      <c r="K550" s="329">
        <v>7.5</v>
      </c>
      <c r="L550" s="329"/>
      <c r="M550" s="329">
        <v>1.5</v>
      </c>
      <c r="N550" s="329"/>
      <c r="O550" s="329"/>
      <c r="P550" s="329"/>
      <c r="Q550" s="330" t="s">
        <v>92</v>
      </c>
      <c r="R550" s="331">
        <v>-3.7</v>
      </c>
      <c r="S550" s="329">
        <v>0.3</v>
      </c>
      <c r="T550" s="329"/>
      <c r="U550" s="329"/>
      <c r="V550" s="329"/>
      <c r="W550" s="329"/>
      <c r="X550" s="332">
        <v>3.9</v>
      </c>
      <c r="Y550" s="329"/>
      <c r="Z550" s="329">
        <v>2.2000000000000002</v>
      </c>
      <c r="AA550" s="329"/>
      <c r="AB550" s="329"/>
      <c r="AC550" s="329"/>
      <c r="AD550" s="332"/>
      <c r="AE550" s="329"/>
      <c r="AF550" s="329"/>
      <c r="AG550" s="329"/>
      <c r="AH550" s="329"/>
      <c r="AI550" s="329"/>
      <c r="AJ550" s="333">
        <v>-47.9</v>
      </c>
      <c r="AK550" s="334">
        <v>3.43</v>
      </c>
      <c r="AL550" s="334"/>
      <c r="AM550" s="334"/>
      <c r="AN550" s="334"/>
      <c r="AO550" s="335"/>
      <c r="AP550" s="334"/>
      <c r="AQ550" s="334"/>
      <c r="AR550" s="334"/>
      <c r="AS550" s="334"/>
      <c r="AT550" s="334"/>
      <c r="AU550" s="335"/>
    </row>
    <row r="551" spans="1:47" ht="18" customHeight="1" x14ac:dyDescent="0.35">
      <c r="A551" s="274">
        <f>MATCH(B551,STUDIES!$A$3:$A$502,0)</f>
        <v>44</v>
      </c>
      <c r="B551" s="272" t="s">
        <v>748</v>
      </c>
      <c r="D551" s="326" t="s">
        <v>1058</v>
      </c>
      <c r="E551" s="272" t="s">
        <v>1163</v>
      </c>
      <c r="F551" s="155" t="str">
        <f>_xlfn.XLOOKUP(B551,STUDIES!$A$3:$A$1063,STUDIES!$G$3:$G$1063,"Not Found!")</f>
        <v>BC</v>
      </c>
      <c r="G551" s="273" t="s">
        <v>147</v>
      </c>
      <c r="H551" s="273">
        <v>16</v>
      </c>
      <c r="I551" s="273">
        <v>82</v>
      </c>
      <c r="J551" s="274">
        <v>0</v>
      </c>
    </row>
    <row r="552" spans="1:47" ht="18" customHeight="1" x14ac:dyDescent="0.35">
      <c r="A552" s="274">
        <f>MATCH(B552,STUDIES!$A$3:$A$502,0)</f>
        <v>44</v>
      </c>
      <c r="B552" s="272" t="s">
        <v>748</v>
      </c>
      <c r="D552" s="281" t="s">
        <v>1058</v>
      </c>
      <c r="E552" s="272" t="s">
        <v>1167</v>
      </c>
      <c r="F552" s="155" t="str">
        <f>_xlfn.XLOOKUP(B552,STUDIES!$A$3:$A$1063,STUDIES!$G$3:$G$1063,"Not Found!")</f>
        <v>BC</v>
      </c>
      <c r="G552" s="273" t="s">
        <v>147</v>
      </c>
      <c r="H552" s="273">
        <v>16</v>
      </c>
      <c r="I552" s="273">
        <v>82</v>
      </c>
      <c r="J552" s="274">
        <v>0</v>
      </c>
    </row>
    <row r="553" spans="1:47" ht="18" customHeight="1" x14ac:dyDescent="0.35">
      <c r="A553" s="274">
        <f>MATCH(B553,STUDIES!$A$3:$A$502,0)</f>
        <v>44</v>
      </c>
      <c r="B553" s="310" t="s">
        <v>748</v>
      </c>
      <c r="C553" s="460"/>
      <c r="D553" s="326" t="s">
        <v>1057</v>
      </c>
      <c r="E553" s="434" t="s">
        <v>694</v>
      </c>
      <c r="F553" s="155" t="str">
        <f>_xlfn.XLOOKUP(B553,STUDIES!$A$3:$A$1063,STUDIES!$G$3:$G$1063,"Not Found!")</f>
        <v>BC</v>
      </c>
      <c r="G553" s="257" t="s">
        <v>147</v>
      </c>
      <c r="H553" s="257">
        <v>16</v>
      </c>
      <c r="I553" s="257">
        <v>84</v>
      </c>
      <c r="J553" s="258"/>
      <c r="K553" s="259">
        <v>14.8</v>
      </c>
      <c r="L553" s="259"/>
      <c r="M553" s="259">
        <v>7.4</v>
      </c>
      <c r="N553" s="259"/>
      <c r="O553" s="259"/>
      <c r="P553" s="259"/>
      <c r="Q553" s="279" t="s">
        <v>782</v>
      </c>
      <c r="R553" s="289">
        <v>-8.8000000000000007</v>
      </c>
      <c r="S553" s="259">
        <v>0.5</v>
      </c>
      <c r="T553" s="259"/>
      <c r="U553" s="259"/>
      <c r="V553" s="259"/>
      <c r="W553" s="259"/>
      <c r="X553" s="264">
        <v>5.2</v>
      </c>
      <c r="Y553" s="259"/>
      <c r="Z553" s="259">
        <v>5.0999999999999996</v>
      </c>
      <c r="AA553" s="259"/>
      <c r="AB553" s="259"/>
      <c r="AC553" s="259"/>
      <c r="AD553" s="264"/>
      <c r="AE553" s="259"/>
      <c r="AF553" s="259"/>
      <c r="AG553" s="259"/>
      <c r="AH553" s="259"/>
      <c r="AI553" s="259"/>
      <c r="AJ553" s="265"/>
      <c r="AK553" s="266"/>
      <c r="AL553" s="266"/>
      <c r="AM553" s="266"/>
      <c r="AN553" s="266"/>
      <c r="AO553" s="267"/>
      <c r="AP553" s="266"/>
      <c r="AQ553" s="266"/>
      <c r="AR553" s="266"/>
      <c r="AS553" s="266"/>
      <c r="AT553" s="266"/>
      <c r="AU553" s="267"/>
    </row>
    <row r="554" spans="1:47" ht="18" customHeight="1" x14ac:dyDescent="0.35">
      <c r="A554" s="274">
        <f>MATCH(B554,STUDIES!$A$3:$A$502,0)</f>
        <v>44</v>
      </c>
      <c r="B554" s="310" t="s">
        <v>748</v>
      </c>
      <c r="C554" s="460"/>
      <c r="D554" s="269" t="s">
        <v>1057</v>
      </c>
      <c r="E554" s="256" t="s">
        <v>151</v>
      </c>
      <c r="F554" s="155" t="str">
        <f>_xlfn.XLOOKUP(B554,STUDIES!$A$3:$A$1063,STUDIES!$G$3:$G$1063,"Not Found!")</f>
        <v>BC</v>
      </c>
      <c r="G554" s="257" t="s">
        <v>147</v>
      </c>
      <c r="H554" s="257">
        <v>16</v>
      </c>
      <c r="I554" s="257">
        <v>84</v>
      </c>
      <c r="J554" s="258"/>
      <c r="K554" s="259">
        <v>35.799999999999997</v>
      </c>
      <c r="L554" s="259"/>
      <c r="M554" s="259">
        <v>14.8</v>
      </c>
      <c r="N554" s="259"/>
      <c r="O554" s="259"/>
      <c r="P554" s="259"/>
      <c r="Q554" s="279" t="s">
        <v>780</v>
      </c>
      <c r="R554" s="289"/>
      <c r="S554" s="259"/>
      <c r="T554" s="259"/>
      <c r="U554" s="259"/>
      <c r="V554" s="259"/>
      <c r="W554" s="259"/>
      <c r="X554" s="264">
        <v>12.3</v>
      </c>
      <c r="Y554" s="259"/>
      <c r="Z554" s="259">
        <v>11.1</v>
      </c>
      <c r="AA554" s="259"/>
      <c r="AB554" s="259"/>
      <c r="AC554" s="259"/>
      <c r="AD554" s="264"/>
      <c r="AE554" s="259"/>
      <c r="AF554" s="259"/>
      <c r="AG554" s="259"/>
      <c r="AH554" s="259"/>
      <c r="AI554" s="259"/>
      <c r="AJ554" s="265">
        <v>-64.8</v>
      </c>
      <c r="AK554" s="266">
        <v>4.5</v>
      </c>
      <c r="AL554" s="266"/>
      <c r="AM554" s="266"/>
      <c r="AN554" s="266"/>
      <c r="AO554" s="267"/>
      <c r="AP554" s="266"/>
      <c r="AQ554" s="266"/>
      <c r="AR554" s="266"/>
      <c r="AS554" s="266"/>
      <c r="AT554" s="266"/>
      <c r="AU554" s="267"/>
    </row>
    <row r="555" spans="1:47" ht="18" customHeight="1" x14ac:dyDescent="0.35">
      <c r="A555" s="274">
        <f>MATCH(B555,STUDIES!$A$3:$A$502,0)</f>
        <v>44</v>
      </c>
      <c r="B555" s="310" t="s">
        <v>748</v>
      </c>
      <c r="C555" s="460"/>
      <c r="D555" s="269" t="s">
        <v>1057</v>
      </c>
      <c r="E555" s="256" t="s">
        <v>153</v>
      </c>
      <c r="F555" s="155" t="str">
        <f>_xlfn.XLOOKUP(B555,STUDIES!$A$3:$A$1063,STUDIES!$G$3:$G$1063,"Not Found!")</f>
        <v>BC</v>
      </c>
      <c r="G555" s="257" t="s">
        <v>147</v>
      </c>
      <c r="H555" s="257">
        <v>16</v>
      </c>
      <c r="I555" s="257">
        <v>84</v>
      </c>
      <c r="J555" s="258"/>
      <c r="K555" s="259">
        <v>21.1</v>
      </c>
      <c r="L555" s="259"/>
      <c r="M555" s="259">
        <v>5.5</v>
      </c>
      <c r="N555" s="259"/>
      <c r="O555" s="259"/>
      <c r="P555" s="259"/>
      <c r="Q555" s="279" t="s">
        <v>782</v>
      </c>
      <c r="R555" s="289">
        <v>-9.5</v>
      </c>
      <c r="S555" s="259">
        <v>0.9</v>
      </c>
      <c r="T555" s="259"/>
      <c r="U555" s="259"/>
      <c r="V555" s="259"/>
      <c r="W555" s="259"/>
      <c r="X555" s="264">
        <v>11.2</v>
      </c>
      <c r="Y555" s="259"/>
      <c r="Z555" s="259">
        <v>7.4</v>
      </c>
      <c r="AA555" s="259"/>
      <c r="AB555" s="259"/>
      <c r="AC555" s="259"/>
      <c r="AD555" s="264"/>
      <c r="AE555" s="259"/>
      <c r="AF555" s="259"/>
      <c r="AG555" s="259"/>
      <c r="AH555" s="259"/>
      <c r="AI555" s="259"/>
      <c r="AJ555" s="265"/>
      <c r="AK555" s="266"/>
      <c r="AL555" s="266"/>
      <c r="AM555" s="266"/>
      <c r="AN555" s="266"/>
      <c r="AO555" s="267"/>
      <c r="AP555" s="266"/>
      <c r="AQ555" s="266"/>
      <c r="AR555" s="266"/>
      <c r="AS555" s="266"/>
      <c r="AT555" s="266"/>
      <c r="AU555" s="267"/>
    </row>
    <row r="556" spans="1:47" ht="18" customHeight="1" x14ac:dyDescent="0.35">
      <c r="A556" s="274">
        <f>MATCH(B556,STUDIES!$A$3:$A$502,0)</f>
        <v>44</v>
      </c>
      <c r="B556" s="310" t="s">
        <v>748</v>
      </c>
      <c r="C556" s="460"/>
      <c r="D556" s="326" t="s">
        <v>1057</v>
      </c>
      <c r="E556" s="434" t="s">
        <v>695</v>
      </c>
      <c r="F556" s="155" t="str">
        <f>_xlfn.XLOOKUP(B556,STUDIES!$A$3:$A$1063,STUDIES!$G$3:$G$1063,"Not Found!")</f>
        <v>BC</v>
      </c>
      <c r="G556" s="327" t="s">
        <v>147</v>
      </c>
      <c r="H556" s="327">
        <v>16</v>
      </c>
      <c r="I556" s="327">
        <v>84</v>
      </c>
      <c r="J556" s="328"/>
      <c r="K556" s="329">
        <v>7.5</v>
      </c>
      <c r="L556" s="329"/>
      <c r="M556" s="329">
        <v>1.8</v>
      </c>
      <c r="N556" s="329"/>
      <c r="O556" s="329"/>
      <c r="P556" s="329"/>
      <c r="Q556" s="330" t="s">
        <v>788</v>
      </c>
      <c r="R556" s="331">
        <v>-3.4</v>
      </c>
      <c r="S556" s="329">
        <v>0.3</v>
      </c>
      <c r="T556" s="329"/>
      <c r="U556" s="329"/>
      <c r="V556" s="329"/>
      <c r="W556" s="329"/>
      <c r="X556" s="332">
        <v>4</v>
      </c>
      <c r="Y556" s="329"/>
      <c r="Z556" s="329">
        <v>2.7</v>
      </c>
      <c r="AA556" s="329"/>
      <c r="AB556" s="329"/>
      <c r="AC556" s="329"/>
      <c r="AD556" s="332"/>
      <c r="AE556" s="329"/>
      <c r="AF556" s="329"/>
      <c r="AG556" s="329"/>
      <c r="AH556" s="329"/>
      <c r="AI556" s="329"/>
      <c r="AJ556" s="333">
        <v>-45.5</v>
      </c>
      <c r="AK556" s="334">
        <v>3.54</v>
      </c>
      <c r="AL556" s="334"/>
      <c r="AM556" s="334"/>
      <c r="AN556" s="334"/>
      <c r="AO556" s="335"/>
      <c r="AP556" s="334"/>
      <c r="AQ556" s="334"/>
      <c r="AR556" s="334"/>
      <c r="AS556" s="334"/>
      <c r="AT556" s="334"/>
      <c r="AU556" s="335"/>
    </row>
    <row r="557" spans="1:47" ht="18" customHeight="1" x14ac:dyDescent="0.35">
      <c r="A557" s="274">
        <f>MATCH(B557,STUDIES!$A$3:$A$502,0)</f>
        <v>44</v>
      </c>
      <c r="B557" s="272" t="s">
        <v>748</v>
      </c>
      <c r="D557" s="326" t="s">
        <v>1057</v>
      </c>
      <c r="E557" s="272" t="s">
        <v>1163</v>
      </c>
      <c r="F557" s="155" t="str">
        <f>_xlfn.XLOOKUP(B557,STUDIES!$A$3:$A$1063,STUDIES!$G$3:$G$1063,"Not Found!")</f>
        <v>BC</v>
      </c>
      <c r="G557" s="273" t="s">
        <v>147</v>
      </c>
      <c r="H557" s="273">
        <v>16</v>
      </c>
      <c r="I557" s="273">
        <v>83</v>
      </c>
      <c r="J557" s="274">
        <v>0</v>
      </c>
    </row>
    <row r="558" spans="1:47" ht="18" customHeight="1" x14ac:dyDescent="0.35">
      <c r="A558" s="274">
        <f>MATCH(B558,STUDIES!$A$3:$A$502,0)</f>
        <v>44</v>
      </c>
      <c r="B558" s="272" t="s">
        <v>748</v>
      </c>
      <c r="D558" s="281" t="s">
        <v>1057</v>
      </c>
      <c r="E558" s="272" t="s">
        <v>1167</v>
      </c>
      <c r="F558" s="155" t="str">
        <f>_xlfn.XLOOKUP(B558,STUDIES!$A$3:$A$1063,STUDIES!$G$3:$G$1063,"Not Found!")</f>
        <v>BC</v>
      </c>
      <c r="G558" s="273" t="s">
        <v>147</v>
      </c>
      <c r="H558" s="273">
        <v>16</v>
      </c>
      <c r="I558" s="273">
        <v>83</v>
      </c>
      <c r="J558" s="274">
        <v>0</v>
      </c>
    </row>
    <row r="559" spans="1:47" ht="18" customHeight="1" x14ac:dyDescent="0.35">
      <c r="A559" s="274">
        <f>MATCH(B559,STUDIES!$A$3:$A$502,0)</f>
        <v>44</v>
      </c>
      <c r="B559" s="310" t="s">
        <v>748</v>
      </c>
      <c r="C559" s="460"/>
      <c r="D559" s="326" t="s">
        <v>148</v>
      </c>
      <c r="E559" s="434" t="s">
        <v>694</v>
      </c>
      <c r="F559" s="155" t="str">
        <f>_xlfn.XLOOKUP(B559,STUDIES!$A$3:$A$1063,STUDIES!$G$3:$G$1063,"Not Found!")</f>
        <v>BC</v>
      </c>
      <c r="G559" s="257" t="s">
        <v>147</v>
      </c>
      <c r="H559" s="257">
        <v>16</v>
      </c>
      <c r="I559" s="257">
        <v>85</v>
      </c>
      <c r="J559" s="258"/>
      <c r="K559" s="259">
        <v>13.1</v>
      </c>
      <c r="L559" s="259"/>
      <c r="M559" s="259">
        <v>6.7</v>
      </c>
      <c r="N559" s="259"/>
      <c r="O559" s="259"/>
      <c r="P559" s="259"/>
      <c r="Q559" s="279" t="s">
        <v>782</v>
      </c>
      <c r="R559" s="289">
        <v>-5.0999999999999996</v>
      </c>
      <c r="S559" s="259">
        <v>0.6</v>
      </c>
      <c r="T559" s="259"/>
      <c r="U559" s="259"/>
      <c r="V559" s="259"/>
      <c r="W559" s="259"/>
      <c r="X559" s="264">
        <v>7.9</v>
      </c>
      <c r="Y559" s="259"/>
      <c r="Z559" s="259">
        <v>6.5</v>
      </c>
      <c r="AA559" s="259"/>
      <c r="AB559" s="259"/>
      <c r="AC559" s="259"/>
      <c r="AD559" s="264"/>
      <c r="AE559" s="259"/>
      <c r="AF559" s="259"/>
      <c r="AG559" s="259"/>
      <c r="AH559" s="259"/>
      <c r="AI559" s="259"/>
      <c r="AJ559" s="265"/>
      <c r="AK559" s="266"/>
      <c r="AL559" s="266"/>
      <c r="AM559" s="266"/>
      <c r="AN559" s="266"/>
      <c r="AO559" s="267"/>
      <c r="AP559" s="266"/>
      <c r="AQ559" s="266"/>
      <c r="AR559" s="266"/>
      <c r="AS559" s="266"/>
      <c r="AT559" s="266"/>
      <c r="AU559" s="267"/>
    </row>
    <row r="560" spans="1:47" ht="18" customHeight="1" x14ac:dyDescent="0.35">
      <c r="A560" s="274">
        <f>MATCH(B560,STUDIES!$A$3:$A$502,0)</f>
        <v>44</v>
      </c>
      <c r="B560" s="310" t="s">
        <v>748</v>
      </c>
      <c r="C560" s="460"/>
      <c r="D560" s="269" t="s">
        <v>148</v>
      </c>
      <c r="E560" s="256" t="s">
        <v>151</v>
      </c>
      <c r="F560" s="155" t="str">
        <f>_xlfn.XLOOKUP(B560,STUDIES!$A$3:$A$1063,STUDIES!$G$3:$G$1063,"Not Found!")</f>
        <v>BC</v>
      </c>
      <c r="G560" s="257" t="s">
        <v>147</v>
      </c>
      <c r="H560" s="257">
        <v>16</v>
      </c>
      <c r="I560" s="257">
        <v>85</v>
      </c>
      <c r="J560" s="258"/>
      <c r="K560" s="259">
        <v>35.5</v>
      </c>
      <c r="L560" s="259"/>
      <c r="M560" s="259">
        <v>14</v>
      </c>
      <c r="N560" s="259"/>
      <c r="O560" s="259"/>
      <c r="P560" s="259"/>
      <c r="Q560" s="279" t="s">
        <v>780</v>
      </c>
      <c r="R560" s="289"/>
      <c r="S560" s="259"/>
      <c r="T560" s="259"/>
      <c r="U560" s="259"/>
      <c r="V560" s="259"/>
      <c r="W560" s="259"/>
      <c r="X560" s="264">
        <v>24.1</v>
      </c>
      <c r="Y560" s="259"/>
      <c r="Z560" s="259">
        <v>15.5</v>
      </c>
      <c r="AA560" s="259"/>
      <c r="AB560" s="259"/>
      <c r="AC560" s="259"/>
      <c r="AD560" s="264"/>
      <c r="AE560" s="259"/>
      <c r="AF560" s="259"/>
      <c r="AG560" s="259"/>
      <c r="AH560" s="259"/>
      <c r="AI560" s="259"/>
      <c r="AJ560" s="265">
        <v>-23.6</v>
      </c>
      <c r="AK560" s="266">
        <v>5.5</v>
      </c>
      <c r="AL560" s="266"/>
      <c r="AM560" s="266"/>
      <c r="AN560" s="266"/>
      <c r="AO560" s="267"/>
      <c r="AP560" s="266"/>
      <c r="AQ560" s="266"/>
      <c r="AR560" s="266"/>
      <c r="AS560" s="266"/>
      <c r="AT560" s="266"/>
      <c r="AU560" s="267"/>
    </row>
    <row r="561" spans="1:47" ht="18" customHeight="1" x14ac:dyDescent="0.35">
      <c r="A561" s="274">
        <f>MATCH(B561,STUDIES!$A$3:$A$502,0)</f>
        <v>44</v>
      </c>
      <c r="B561" s="310" t="s">
        <v>748</v>
      </c>
      <c r="C561" s="460"/>
      <c r="D561" s="269" t="s">
        <v>148</v>
      </c>
      <c r="E561" s="256" t="s">
        <v>153</v>
      </c>
      <c r="F561" s="155" t="str">
        <f>_xlfn.XLOOKUP(B561,STUDIES!$A$3:$A$1063,STUDIES!$G$3:$G$1063,"Not Found!")</f>
        <v>BC</v>
      </c>
      <c r="G561" s="257" t="s">
        <v>147</v>
      </c>
      <c r="H561" s="257">
        <v>16</v>
      </c>
      <c r="I561" s="257">
        <v>85</v>
      </c>
      <c r="J561" s="258"/>
      <c r="K561" s="259">
        <v>21.1</v>
      </c>
      <c r="L561" s="259"/>
      <c r="M561" s="259">
        <v>5.4</v>
      </c>
      <c r="N561" s="259"/>
      <c r="O561" s="259"/>
      <c r="P561" s="259"/>
      <c r="Q561" s="279" t="s">
        <v>782</v>
      </c>
      <c r="R561" s="289">
        <v>-3.8</v>
      </c>
      <c r="S561" s="259">
        <v>1</v>
      </c>
      <c r="T561" s="259"/>
      <c r="U561" s="259"/>
      <c r="V561" s="259"/>
      <c r="W561" s="259"/>
      <c r="X561" s="264">
        <v>16.2</v>
      </c>
      <c r="Y561" s="259"/>
      <c r="Z561" s="259">
        <v>8.3000000000000007</v>
      </c>
      <c r="AA561" s="259"/>
      <c r="AB561" s="259"/>
      <c r="AC561" s="259"/>
      <c r="AD561" s="264"/>
      <c r="AE561" s="259"/>
      <c r="AF561" s="259"/>
      <c r="AG561" s="259"/>
      <c r="AH561" s="259"/>
      <c r="AI561" s="259"/>
      <c r="AJ561" s="265"/>
      <c r="AK561" s="266"/>
      <c r="AL561" s="266"/>
      <c r="AM561" s="266"/>
      <c r="AN561" s="266"/>
      <c r="AO561" s="267"/>
      <c r="AP561" s="266"/>
      <c r="AQ561" s="266"/>
      <c r="AR561" s="266"/>
      <c r="AS561" s="266"/>
      <c r="AT561" s="266"/>
      <c r="AU561" s="267"/>
    </row>
    <row r="562" spans="1:47" ht="18" customHeight="1" x14ac:dyDescent="0.35">
      <c r="A562" s="274">
        <f>MATCH(B562,STUDIES!$A$3:$A$502,0)</f>
        <v>44</v>
      </c>
      <c r="B562" s="310" t="s">
        <v>748</v>
      </c>
      <c r="C562" s="460"/>
      <c r="D562" s="326" t="s">
        <v>148</v>
      </c>
      <c r="E562" s="434" t="s">
        <v>695</v>
      </c>
      <c r="F562" s="155" t="str">
        <f>_xlfn.XLOOKUP(B562,STUDIES!$A$3:$A$1063,STUDIES!$G$3:$G$1063,"Not Found!")</f>
        <v>BC</v>
      </c>
      <c r="G562" s="327" t="s">
        <v>147</v>
      </c>
      <c r="H562" s="327">
        <v>16</v>
      </c>
      <c r="I562" s="327">
        <v>85</v>
      </c>
      <c r="J562" s="328"/>
      <c r="K562" s="329">
        <v>7.7</v>
      </c>
      <c r="L562" s="329"/>
      <c r="M562" s="329">
        <v>1.6</v>
      </c>
      <c r="N562" s="329"/>
      <c r="O562" s="329"/>
      <c r="P562" s="329"/>
      <c r="Q562" s="330" t="s">
        <v>92</v>
      </c>
      <c r="R562" s="331">
        <v>-1.5</v>
      </c>
      <c r="S562" s="329">
        <v>0.3</v>
      </c>
      <c r="T562" s="329"/>
      <c r="U562" s="329"/>
      <c r="V562" s="329"/>
      <c r="W562" s="329"/>
      <c r="X562" s="332">
        <v>6</v>
      </c>
      <c r="Y562" s="329"/>
      <c r="Z562" s="329">
        <v>2.2999999999999998</v>
      </c>
      <c r="AA562" s="329"/>
      <c r="AB562" s="329"/>
      <c r="AC562" s="329"/>
      <c r="AD562" s="332"/>
      <c r="AE562" s="329"/>
      <c r="AF562" s="329"/>
      <c r="AG562" s="329"/>
      <c r="AH562" s="329"/>
      <c r="AI562" s="329"/>
      <c r="AJ562" s="333">
        <v>-19</v>
      </c>
      <c r="AK562" s="334">
        <v>4.09</v>
      </c>
      <c r="AL562" s="334"/>
      <c r="AM562" s="334"/>
      <c r="AN562" s="334"/>
      <c r="AO562" s="335"/>
      <c r="AP562" s="334"/>
      <c r="AQ562" s="334"/>
      <c r="AR562" s="334"/>
      <c r="AS562" s="334"/>
      <c r="AT562" s="334"/>
      <c r="AU562" s="335"/>
    </row>
    <row r="563" spans="1:47" ht="18" customHeight="1" x14ac:dyDescent="0.35">
      <c r="A563" s="274">
        <f>MATCH(B563,STUDIES!$A$3:$A$502,0)</f>
        <v>44</v>
      </c>
      <c r="B563" s="272" t="s">
        <v>748</v>
      </c>
      <c r="D563" s="281" t="s">
        <v>148</v>
      </c>
      <c r="E563" s="272" t="s">
        <v>1163</v>
      </c>
      <c r="F563" s="155" t="str">
        <f>_xlfn.XLOOKUP(B563,STUDIES!$A$3:$A$1063,STUDIES!$G$3:$G$1063,"Not Found!")</f>
        <v>BC</v>
      </c>
      <c r="G563" s="273" t="s">
        <v>147</v>
      </c>
      <c r="H563" s="273">
        <v>16</v>
      </c>
      <c r="I563" s="273">
        <v>85</v>
      </c>
      <c r="J563" s="274">
        <v>1</v>
      </c>
    </row>
    <row r="564" spans="1:47" ht="18" customHeight="1" x14ac:dyDescent="0.35">
      <c r="A564" s="274">
        <f>MATCH(B564,STUDIES!$A$3:$A$502,0)</f>
        <v>44</v>
      </c>
      <c r="B564" s="272" t="s">
        <v>748</v>
      </c>
      <c r="D564" s="281" t="s">
        <v>148</v>
      </c>
      <c r="E564" s="272" t="s">
        <v>1167</v>
      </c>
      <c r="F564" s="155" t="str">
        <f>_xlfn.XLOOKUP(B564,STUDIES!$A$3:$A$1063,STUDIES!$G$3:$G$1063,"Not Found!")</f>
        <v>BC</v>
      </c>
      <c r="G564" s="273" t="s">
        <v>147</v>
      </c>
      <c r="H564" s="273">
        <v>16</v>
      </c>
      <c r="I564" s="273">
        <v>85</v>
      </c>
      <c r="J564" s="274">
        <v>1</v>
      </c>
    </row>
    <row r="565" spans="1:47" ht="18" customHeight="1" x14ac:dyDescent="0.35">
      <c r="A565" s="274">
        <f>MATCH(B565,STUDIES!$A$3:$A$502,0)</f>
        <v>45</v>
      </c>
      <c r="B565" s="256" t="s">
        <v>175</v>
      </c>
      <c r="C565" s="458"/>
      <c r="D565" s="278" t="s">
        <v>1048</v>
      </c>
      <c r="E565" s="256" t="s">
        <v>350</v>
      </c>
      <c r="F565" s="155" t="str">
        <f>_xlfn.XLOOKUP(B565,STUDIES!$A$3:$A$1063,STUDIES!$G$3:$G$1063,"Not Found!")</f>
        <v>A</v>
      </c>
      <c r="G565" s="257" t="s">
        <v>147</v>
      </c>
      <c r="H565" s="299">
        <v>8</v>
      </c>
      <c r="I565" s="257">
        <v>17</v>
      </c>
      <c r="J565" s="258"/>
      <c r="K565" s="307">
        <v>39.980699999999999</v>
      </c>
      <c r="L565" s="307">
        <v>3.1936999999999998</v>
      </c>
      <c r="M565" s="263"/>
      <c r="N565" s="259"/>
      <c r="O565" s="259"/>
      <c r="P565" s="259"/>
      <c r="Q565" s="279" t="s">
        <v>150</v>
      </c>
      <c r="R565" s="289"/>
      <c r="S565" s="259"/>
      <c r="T565" s="259"/>
      <c r="U565" s="259"/>
      <c r="V565" s="259"/>
      <c r="W565" s="259"/>
      <c r="X565" s="306">
        <v>17.720750000000002</v>
      </c>
      <c r="Y565" s="288">
        <v>3.5873499999999998</v>
      </c>
      <c r="Z565" s="263"/>
      <c r="AA565" s="263"/>
      <c r="AB565" s="263"/>
      <c r="AC565" s="263"/>
      <c r="AD565" s="264"/>
      <c r="AE565" s="260"/>
      <c r="AF565" s="260"/>
      <c r="AG565" s="260"/>
      <c r="AH565" s="260"/>
      <c r="AI565" s="260"/>
      <c r="AJ565" s="265"/>
      <c r="AK565" s="266"/>
      <c r="AL565" s="266"/>
      <c r="AM565" s="266"/>
      <c r="AN565" s="266"/>
      <c r="AO565" s="267"/>
      <c r="AP565" s="266"/>
      <c r="AQ565" s="266"/>
      <c r="AR565" s="266"/>
      <c r="AS565" s="266"/>
      <c r="AT565" s="266"/>
      <c r="AU565" s="267"/>
    </row>
    <row r="566" spans="1:47" ht="18" customHeight="1" x14ac:dyDescent="0.35">
      <c r="A566" s="274">
        <f>MATCH(B566,STUDIES!$A$3:$A$502,0)</f>
        <v>45</v>
      </c>
      <c r="B566" s="256" t="s">
        <v>175</v>
      </c>
      <c r="C566" s="458"/>
      <c r="D566" s="278" t="s">
        <v>1048</v>
      </c>
      <c r="E566" s="270" t="s">
        <v>181</v>
      </c>
      <c r="F566" s="155" t="str">
        <f>_xlfn.XLOOKUP(B566,STUDIES!$A$3:$A$1063,STUDIES!$G$3:$G$1063,"Not Found!")</f>
        <v>A</v>
      </c>
      <c r="G566" s="257" t="s">
        <v>147</v>
      </c>
      <c r="H566" s="257">
        <v>8</v>
      </c>
      <c r="I566" s="257">
        <v>17</v>
      </c>
      <c r="J566" s="258"/>
      <c r="K566" s="259">
        <v>33.200000000000003</v>
      </c>
      <c r="L566" s="318">
        <v>4.7</v>
      </c>
      <c r="M566" s="259"/>
      <c r="N566" s="259"/>
      <c r="O566" s="259"/>
      <c r="P566" s="259"/>
      <c r="Q566" s="279" t="s">
        <v>150</v>
      </c>
      <c r="R566" s="289"/>
      <c r="S566" s="259"/>
      <c r="T566" s="259"/>
      <c r="U566" s="259"/>
      <c r="V566" s="259"/>
      <c r="W566" s="259"/>
      <c r="X566" s="264">
        <v>16.100000000000001</v>
      </c>
      <c r="Y566" s="259">
        <v>5.3</v>
      </c>
      <c r="Z566" s="259"/>
      <c r="AA566" s="259"/>
      <c r="AB566" s="259"/>
      <c r="AC566" s="259"/>
      <c r="AD566" s="264"/>
      <c r="AE566" s="259"/>
      <c r="AF566" s="259"/>
      <c r="AG566" s="259"/>
      <c r="AH566" s="259"/>
      <c r="AI566" s="259"/>
      <c r="AJ566" s="265"/>
      <c r="AK566" s="266"/>
      <c r="AL566" s="266"/>
      <c r="AM566" s="266"/>
      <c r="AN566" s="266"/>
      <c r="AO566" s="267"/>
      <c r="AP566" s="266"/>
      <c r="AQ566" s="266"/>
      <c r="AR566" s="266"/>
      <c r="AS566" s="266"/>
      <c r="AT566" s="266"/>
      <c r="AU566" s="267"/>
    </row>
    <row r="567" spans="1:47" ht="18" customHeight="1" x14ac:dyDescent="0.35">
      <c r="A567" s="274">
        <f>MATCH(B567,STUDIES!$A$3:$A$502,0)</f>
        <v>45</v>
      </c>
      <c r="B567" s="256" t="s">
        <v>175</v>
      </c>
      <c r="C567" s="458"/>
      <c r="D567" s="278" t="s">
        <v>148</v>
      </c>
      <c r="E567" s="256" t="s">
        <v>350</v>
      </c>
      <c r="F567" s="155" t="str">
        <f>_xlfn.XLOOKUP(B567,STUDIES!$A$3:$A$1063,STUDIES!$G$3:$G$1063,"Not Found!")</f>
        <v>A</v>
      </c>
      <c r="G567" s="257" t="s">
        <v>147</v>
      </c>
      <c r="H567" s="299">
        <v>8</v>
      </c>
      <c r="I567" s="257">
        <v>16</v>
      </c>
      <c r="J567" s="258"/>
      <c r="K567" s="288">
        <v>46.775499999999994</v>
      </c>
      <c r="L567" s="288">
        <v>3.4245000000000019</v>
      </c>
      <c r="M567" s="259"/>
      <c r="N567" s="259"/>
      <c r="O567" s="259"/>
      <c r="P567" s="259"/>
      <c r="Q567" s="279" t="s">
        <v>150</v>
      </c>
      <c r="R567" s="289"/>
      <c r="S567" s="259"/>
      <c r="T567" s="259"/>
      <c r="U567" s="259"/>
      <c r="V567" s="259"/>
      <c r="W567" s="259"/>
      <c r="X567" s="287">
        <v>42.698949999999996</v>
      </c>
      <c r="Y567" s="288">
        <v>4.1720499999999987</v>
      </c>
      <c r="Z567" s="259"/>
      <c r="AA567" s="259"/>
      <c r="AB567" s="259"/>
      <c r="AC567" s="259"/>
      <c r="AD567" s="264"/>
      <c r="AE567" s="259"/>
      <c r="AF567" s="259"/>
      <c r="AG567" s="259"/>
      <c r="AH567" s="259"/>
      <c r="AI567" s="259"/>
      <c r="AJ567" s="265"/>
      <c r="AK567" s="266"/>
      <c r="AL567" s="266"/>
      <c r="AM567" s="266"/>
      <c r="AN567" s="266"/>
      <c r="AO567" s="267"/>
      <c r="AP567" s="266"/>
      <c r="AQ567" s="266"/>
      <c r="AR567" s="266"/>
      <c r="AS567" s="266"/>
      <c r="AT567" s="266"/>
      <c r="AU567" s="267"/>
    </row>
    <row r="568" spans="1:47" ht="18" customHeight="1" x14ac:dyDescent="0.35">
      <c r="A568" s="274">
        <f>MATCH(B568,STUDIES!$A$3:$A$502,0)</f>
        <v>45</v>
      </c>
      <c r="B568" s="256" t="s">
        <v>175</v>
      </c>
      <c r="C568" s="458"/>
      <c r="D568" s="278" t="s">
        <v>148</v>
      </c>
      <c r="E568" s="270" t="s">
        <v>181</v>
      </c>
      <c r="F568" s="155" t="str">
        <f>_xlfn.XLOOKUP(B568,STUDIES!$A$3:$A$1063,STUDIES!$G$3:$G$1063,"Not Found!")</f>
        <v>A</v>
      </c>
      <c r="G568" s="257" t="s">
        <v>147</v>
      </c>
      <c r="H568" s="257">
        <v>8</v>
      </c>
      <c r="I568" s="257">
        <v>16</v>
      </c>
      <c r="J568" s="258"/>
      <c r="K568" s="259">
        <v>36.700000000000003</v>
      </c>
      <c r="L568" s="318">
        <v>4</v>
      </c>
      <c r="M568" s="259"/>
      <c r="N568" s="259"/>
      <c r="O568" s="259"/>
      <c r="P568" s="259"/>
      <c r="Q568" s="279" t="s">
        <v>150</v>
      </c>
      <c r="R568" s="289"/>
      <c r="S568" s="259"/>
      <c r="T568" s="259"/>
      <c r="U568" s="259"/>
      <c r="V568" s="259"/>
      <c r="W568" s="259"/>
      <c r="X568" s="264">
        <v>29.1</v>
      </c>
      <c r="Y568" s="259">
        <v>4.8</v>
      </c>
      <c r="Z568" s="259"/>
      <c r="AA568" s="259"/>
      <c r="AB568" s="259"/>
      <c r="AC568" s="259"/>
      <c r="AD568" s="264"/>
      <c r="AE568" s="259"/>
      <c r="AF568" s="259"/>
      <c r="AG568" s="259"/>
      <c r="AH568" s="259"/>
      <c r="AI568" s="259"/>
      <c r="AJ568" s="265"/>
      <c r="AK568" s="266"/>
      <c r="AL568" s="266"/>
      <c r="AM568" s="266"/>
      <c r="AN568" s="266"/>
      <c r="AO568" s="267"/>
      <c r="AP568" s="266"/>
      <c r="AQ568" s="266"/>
      <c r="AR568" s="266"/>
      <c r="AS568" s="266"/>
      <c r="AT568" s="266"/>
      <c r="AU568" s="267"/>
    </row>
    <row r="569" spans="1:47" ht="18" customHeight="1" x14ac:dyDescent="0.35">
      <c r="A569" s="274">
        <f>MATCH(B569,STUDIES!$A$3:$A$502,0)</f>
        <v>45</v>
      </c>
      <c r="B569" s="272" t="s">
        <v>175</v>
      </c>
      <c r="D569" s="281" t="s">
        <v>1048</v>
      </c>
      <c r="E569" s="272" t="s">
        <v>1167</v>
      </c>
      <c r="F569" s="155" t="str">
        <f>_xlfn.XLOOKUP(B569,STUDIES!$A$3:$A$1063,STUDIES!$G$3:$G$1063,"Not Found!")</f>
        <v>A</v>
      </c>
      <c r="G569" s="273" t="s">
        <v>147</v>
      </c>
      <c r="H569" s="273">
        <v>8</v>
      </c>
      <c r="I569" s="273">
        <v>17</v>
      </c>
      <c r="J569" s="274">
        <v>0</v>
      </c>
    </row>
    <row r="570" spans="1:47" ht="18" customHeight="1" x14ac:dyDescent="0.35">
      <c r="A570" s="274">
        <f>MATCH(B570,STUDIES!$A$3:$A$502,0)</f>
        <v>45</v>
      </c>
      <c r="B570" s="272" t="s">
        <v>175</v>
      </c>
      <c r="D570" s="281" t="s">
        <v>148</v>
      </c>
      <c r="E570" s="272" t="s">
        <v>1167</v>
      </c>
      <c r="F570" s="155" t="str">
        <f>_xlfn.XLOOKUP(B570,STUDIES!$A$3:$A$1063,STUDIES!$G$3:$G$1063,"Not Found!")</f>
        <v>A</v>
      </c>
      <c r="G570" s="273" t="s">
        <v>147</v>
      </c>
      <c r="H570" s="273">
        <v>8</v>
      </c>
      <c r="I570" s="273">
        <v>16</v>
      </c>
      <c r="J570" s="274">
        <v>0</v>
      </c>
    </row>
    <row r="571" spans="1:47" ht="18" customHeight="1" x14ac:dyDescent="0.35">
      <c r="A571" s="274">
        <f>MATCH(B571,STUDIES!$A$3:$A$502,0)</f>
        <v>46</v>
      </c>
      <c r="B571" s="270" t="s">
        <v>316</v>
      </c>
      <c r="C571" s="459"/>
      <c r="D571" s="278" t="s">
        <v>1052</v>
      </c>
      <c r="E571" s="256" t="s">
        <v>154</v>
      </c>
      <c r="F571" s="155" t="str">
        <f>_xlfn.XLOOKUP(B571,STUDIES!$A$3:$A$1063,STUDIES!$G$3:$G$1063,"Not Found!")</f>
        <v>A</v>
      </c>
      <c r="G571" s="257" t="s">
        <v>147</v>
      </c>
      <c r="H571" s="257">
        <v>16</v>
      </c>
      <c r="I571" s="257">
        <v>65</v>
      </c>
      <c r="J571" s="258"/>
      <c r="K571" s="263">
        <v>15.7</v>
      </c>
      <c r="L571" s="259"/>
      <c r="M571" s="263">
        <v>6.61</v>
      </c>
      <c r="N571" s="259"/>
      <c r="O571" s="259"/>
      <c r="P571" s="259"/>
      <c r="Q571" s="290" t="s">
        <v>150</v>
      </c>
      <c r="R571" s="280"/>
      <c r="S571" s="263"/>
      <c r="T571" s="259"/>
      <c r="U571" s="259"/>
      <c r="V571" s="259"/>
      <c r="W571" s="259"/>
      <c r="X571" s="264">
        <v>11.9</v>
      </c>
      <c r="Y571" s="259"/>
      <c r="Z571" s="259">
        <v>8.2799999999999994</v>
      </c>
      <c r="AA571" s="259"/>
      <c r="AB571" s="259"/>
      <c r="AC571" s="259"/>
      <c r="AD571" s="264"/>
      <c r="AE571" s="259"/>
      <c r="AF571" s="259"/>
      <c r="AG571" s="259"/>
      <c r="AH571" s="259"/>
      <c r="AI571" s="259"/>
      <c r="AJ571" s="265"/>
      <c r="AK571" s="266"/>
      <c r="AL571" s="266"/>
      <c r="AM571" s="266"/>
      <c r="AN571" s="266"/>
      <c r="AO571" s="267"/>
      <c r="AP571" s="266"/>
      <c r="AQ571" s="266"/>
      <c r="AR571" s="266"/>
      <c r="AS571" s="266"/>
      <c r="AT571" s="266"/>
      <c r="AU571" s="267"/>
    </row>
    <row r="572" spans="1:47" ht="18" customHeight="1" x14ac:dyDescent="0.35">
      <c r="A572" s="274">
        <f>MATCH(B572,STUDIES!$A$3:$A$502,0)</f>
        <v>46</v>
      </c>
      <c r="B572" s="256" t="s">
        <v>316</v>
      </c>
      <c r="C572" s="458"/>
      <c r="D572" s="278" t="s">
        <v>1052</v>
      </c>
      <c r="E572" s="256" t="s">
        <v>151</v>
      </c>
      <c r="F572" s="155" t="str">
        <f>_xlfn.XLOOKUP(B572,STUDIES!$A$3:$A$1063,STUDIES!$G$3:$G$1063,"Not Found!")</f>
        <v>A</v>
      </c>
      <c r="G572" s="257" t="s">
        <v>147</v>
      </c>
      <c r="H572" s="257">
        <v>16</v>
      </c>
      <c r="I572" s="257">
        <v>65</v>
      </c>
      <c r="J572" s="258"/>
      <c r="K572" s="259">
        <v>32.200000000000003</v>
      </c>
      <c r="L572" s="259"/>
      <c r="M572" s="259">
        <v>13.5</v>
      </c>
      <c r="N572" s="259"/>
      <c r="O572" s="259"/>
      <c r="P572" s="259"/>
      <c r="Q572" s="290" t="s">
        <v>150</v>
      </c>
      <c r="R572" s="280"/>
      <c r="S572" s="263"/>
      <c r="T572" s="259"/>
      <c r="U572" s="259"/>
      <c r="V572" s="259"/>
      <c r="W572" s="259"/>
      <c r="X572" s="264">
        <v>17.399999999999999</v>
      </c>
      <c r="Y572" s="259"/>
      <c r="Z572" s="259">
        <v>15.3</v>
      </c>
      <c r="AA572" s="259"/>
      <c r="AB572" s="259"/>
      <c r="AC572" s="259"/>
      <c r="AD572" s="264"/>
      <c r="AE572" s="259"/>
      <c r="AF572" s="259"/>
      <c r="AG572" s="259"/>
      <c r="AH572" s="259"/>
      <c r="AI572" s="259"/>
      <c r="AJ572" s="265"/>
      <c r="AK572" s="266"/>
      <c r="AL572" s="266"/>
      <c r="AM572" s="266"/>
      <c r="AN572" s="266"/>
      <c r="AO572" s="267"/>
      <c r="AP572" s="266"/>
      <c r="AQ572" s="266"/>
      <c r="AR572" s="266"/>
      <c r="AS572" s="266"/>
      <c r="AT572" s="266"/>
      <c r="AU572" s="267"/>
    </row>
    <row r="573" spans="1:47" ht="18" customHeight="1" x14ac:dyDescent="0.35">
      <c r="A573" s="274">
        <f>MATCH(B573,STUDIES!$A$3:$A$502,0)</f>
        <v>46</v>
      </c>
      <c r="B573" s="256" t="s">
        <v>316</v>
      </c>
      <c r="C573" s="458"/>
      <c r="D573" s="278" t="s">
        <v>1052</v>
      </c>
      <c r="E573" s="270" t="s">
        <v>183</v>
      </c>
      <c r="F573" s="155" t="str">
        <f>_xlfn.XLOOKUP(B573,STUDIES!$A$3:$A$1063,STUDIES!$G$3:$G$1063,"Not Found!")</f>
        <v>A</v>
      </c>
      <c r="G573" s="257" t="s">
        <v>147</v>
      </c>
      <c r="H573" s="257">
        <v>16</v>
      </c>
      <c r="I573" s="257">
        <v>65</v>
      </c>
      <c r="J573" s="258"/>
      <c r="K573" s="259">
        <v>6.71</v>
      </c>
      <c r="L573" s="259"/>
      <c r="M573" s="259">
        <v>1.88</v>
      </c>
      <c r="N573" s="259"/>
      <c r="O573" s="259"/>
      <c r="P573" s="259"/>
      <c r="Q573" s="290" t="s">
        <v>150</v>
      </c>
      <c r="R573" s="280"/>
      <c r="S573" s="263"/>
      <c r="T573" s="259"/>
      <c r="U573" s="259"/>
      <c r="V573" s="259"/>
      <c r="W573" s="259"/>
      <c r="X573" s="264">
        <v>5.26</v>
      </c>
      <c r="Y573" s="259"/>
      <c r="Z573" s="259">
        <v>2.4700000000000002</v>
      </c>
      <c r="AA573" s="259"/>
      <c r="AB573" s="259"/>
      <c r="AC573" s="259"/>
      <c r="AD573" s="264"/>
      <c r="AE573" s="259"/>
      <c r="AF573" s="259"/>
      <c r="AG573" s="259"/>
      <c r="AH573" s="259"/>
      <c r="AI573" s="259"/>
      <c r="AJ573" s="265"/>
      <c r="AK573" s="266"/>
      <c r="AL573" s="266"/>
      <c r="AM573" s="266"/>
      <c r="AN573" s="266"/>
      <c r="AO573" s="267"/>
      <c r="AP573" s="266"/>
      <c r="AQ573" s="266"/>
      <c r="AR573" s="266"/>
      <c r="AS573" s="266"/>
      <c r="AT573" s="266"/>
      <c r="AU573" s="267"/>
    </row>
    <row r="574" spans="1:47" ht="18" customHeight="1" x14ac:dyDescent="0.35">
      <c r="A574" s="274">
        <f>MATCH(B574,STUDIES!$A$3:$A$502,0)</f>
        <v>46</v>
      </c>
      <c r="B574" s="270" t="s">
        <v>316</v>
      </c>
      <c r="C574" s="459"/>
      <c r="D574" s="278" t="s">
        <v>1052</v>
      </c>
      <c r="E574" s="270" t="s">
        <v>153</v>
      </c>
      <c r="F574" s="155" t="str">
        <f>_xlfn.XLOOKUP(B574,STUDIES!$A$3:$A$1063,STUDIES!$G$3:$G$1063,"Not Found!")</f>
        <v>A</v>
      </c>
      <c r="G574" s="257" t="s">
        <v>147</v>
      </c>
      <c r="H574" s="257">
        <v>16</v>
      </c>
      <c r="I574" s="257">
        <v>65</v>
      </c>
      <c r="J574" s="258"/>
      <c r="K574" s="259"/>
      <c r="L574" s="259"/>
      <c r="M574" s="259"/>
      <c r="N574" s="259"/>
      <c r="O574" s="259"/>
      <c r="P574" s="259"/>
      <c r="Q574" s="279" t="s">
        <v>90</v>
      </c>
      <c r="R574" s="289">
        <v>-3.3</v>
      </c>
      <c r="S574" s="259">
        <v>0.9</v>
      </c>
      <c r="T574" s="259"/>
      <c r="U574" s="259"/>
      <c r="V574" s="259"/>
      <c r="W574" s="259"/>
      <c r="X574" s="264"/>
      <c r="Y574" s="259"/>
      <c r="Z574" s="259"/>
      <c r="AA574" s="259"/>
      <c r="AB574" s="259"/>
      <c r="AC574" s="259"/>
      <c r="AD574" s="264"/>
      <c r="AE574" s="259"/>
      <c r="AF574" s="259"/>
      <c r="AG574" s="259"/>
      <c r="AH574" s="259"/>
      <c r="AI574" s="259"/>
      <c r="AJ574" s="265"/>
      <c r="AK574" s="266"/>
      <c r="AL574" s="266"/>
      <c r="AM574" s="266"/>
      <c r="AN574" s="266"/>
      <c r="AO574" s="267"/>
      <c r="AP574" s="266"/>
      <c r="AQ574" s="266"/>
      <c r="AR574" s="266"/>
      <c r="AS574" s="266"/>
      <c r="AT574" s="266"/>
      <c r="AU574" s="267"/>
    </row>
    <row r="575" spans="1:47" ht="18" customHeight="1" x14ac:dyDescent="0.35">
      <c r="A575" s="274">
        <f>MATCH(B575,STUDIES!$A$3:$A$502,0)</f>
        <v>46</v>
      </c>
      <c r="B575" s="272" t="s">
        <v>316</v>
      </c>
      <c r="D575" s="278" t="s">
        <v>1052</v>
      </c>
      <c r="E575" s="272" t="s">
        <v>1163</v>
      </c>
      <c r="F575" s="155" t="str">
        <f>_xlfn.XLOOKUP(B575,STUDIES!$A$3:$A$1063,STUDIES!$G$3:$G$1063,"Not Found!")</f>
        <v>A</v>
      </c>
      <c r="G575" s="273" t="s">
        <v>147</v>
      </c>
      <c r="H575" s="273">
        <v>16</v>
      </c>
      <c r="I575" s="273">
        <v>65</v>
      </c>
      <c r="J575" s="274">
        <v>7</v>
      </c>
    </row>
    <row r="576" spans="1:47" ht="18" customHeight="1" x14ac:dyDescent="0.35">
      <c r="A576" s="274">
        <f>MATCH(B576,STUDIES!$A$3:$A$502,0)</f>
        <v>46</v>
      </c>
      <c r="B576" s="272" t="s">
        <v>316</v>
      </c>
      <c r="D576" s="281" t="s">
        <v>1052</v>
      </c>
      <c r="E576" s="272" t="s">
        <v>1167</v>
      </c>
      <c r="F576" s="155" t="str">
        <f>_xlfn.XLOOKUP(B576,STUDIES!$A$3:$A$1063,STUDIES!$G$3:$G$1063,"Not Found!")</f>
        <v>A</v>
      </c>
      <c r="G576" s="273" t="s">
        <v>147</v>
      </c>
      <c r="H576" s="273">
        <v>16</v>
      </c>
      <c r="I576" s="273">
        <v>65</v>
      </c>
      <c r="J576" s="274">
        <v>10</v>
      </c>
    </row>
    <row r="577" spans="1:55" ht="18" customHeight="1" x14ac:dyDescent="0.35">
      <c r="A577" s="274">
        <f>MATCH(B577,STUDIES!$A$3:$A$502,0)</f>
        <v>46</v>
      </c>
      <c r="B577" s="270" t="s">
        <v>316</v>
      </c>
      <c r="C577" s="459"/>
      <c r="D577" s="278" t="s">
        <v>1053</v>
      </c>
      <c r="E577" s="256" t="s">
        <v>154</v>
      </c>
      <c r="F577" s="155" t="str">
        <f>_xlfn.XLOOKUP(B577,STUDIES!$A$3:$A$1063,STUDIES!$G$3:$G$1063,"Not Found!")</f>
        <v>A</v>
      </c>
      <c r="G577" s="257" t="s">
        <v>147</v>
      </c>
      <c r="H577" s="257">
        <v>16</v>
      </c>
      <c r="I577" s="299">
        <v>61</v>
      </c>
      <c r="J577" s="300"/>
      <c r="K577" s="259">
        <v>15</v>
      </c>
      <c r="L577" s="259"/>
      <c r="M577" s="259">
        <v>7.07</v>
      </c>
      <c r="N577" s="259"/>
      <c r="O577" s="259"/>
      <c r="P577" s="259"/>
      <c r="Q577" s="290" t="s">
        <v>150</v>
      </c>
      <c r="R577" s="280"/>
      <c r="S577" s="263"/>
      <c r="T577" s="259"/>
      <c r="U577" s="259"/>
      <c r="V577" s="259"/>
      <c r="W577" s="259"/>
      <c r="X577" s="264">
        <v>7.1</v>
      </c>
      <c r="Y577" s="259"/>
      <c r="Z577" s="259">
        <v>7.61</v>
      </c>
      <c r="AA577" s="259"/>
      <c r="AB577" s="259"/>
      <c r="AC577" s="259"/>
      <c r="AD577" s="264"/>
      <c r="AE577" s="259"/>
      <c r="AF577" s="259"/>
      <c r="AG577" s="259"/>
      <c r="AH577" s="259"/>
      <c r="AI577" s="259"/>
      <c r="AJ577" s="265"/>
      <c r="AK577" s="266"/>
      <c r="AL577" s="266"/>
      <c r="AM577" s="266"/>
      <c r="AN577" s="266"/>
      <c r="AO577" s="267"/>
      <c r="AP577" s="266"/>
      <c r="AQ577" s="266"/>
      <c r="AR577" s="266"/>
      <c r="AS577" s="266"/>
      <c r="AT577" s="266"/>
      <c r="AU577" s="267"/>
    </row>
    <row r="578" spans="1:55" ht="18" customHeight="1" x14ac:dyDescent="0.35">
      <c r="A578" s="274">
        <f>MATCH(B578,STUDIES!$A$3:$A$502,0)</f>
        <v>46</v>
      </c>
      <c r="B578" s="256" t="s">
        <v>316</v>
      </c>
      <c r="C578" s="458"/>
      <c r="D578" s="278" t="s">
        <v>1053</v>
      </c>
      <c r="E578" s="256" t="s">
        <v>151</v>
      </c>
      <c r="F578" s="155" t="str">
        <f>_xlfn.XLOOKUP(B578,STUDIES!$A$3:$A$1063,STUDIES!$G$3:$G$1063,"Not Found!")</f>
        <v>A</v>
      </c>
      <c r="G578" s="257" t="s">
        <v>147</v>
      </c>
      <c r="H578" s="257">
        <v>16</v>
      </c>
      <c r="I578" s="299">
        <v>61</v>
      </c>
      <c r="J578" s="300"/>
      <c r="K578" s="259">
        <v>32.9</v>
      </c>
      <c r="L578" s="259"/>
      <c r="M578" s="259">
        <v>15.5</v>
      </c>
      <c r="N578" s="263"/>
      <c r="O578" s="263"/>
      <c r="P578" s="263"/>
      <c r="Q578" s="290" t="s">
        <v>150</v>
      </c>
      <c r="R578" s="280"/>
      <c r="S578" s="263"/>
      <c r="T578" s="259"/>
      <c r="U578" s="259"/>
      <c r="V578" s="259"/>
      <c r="W578" s="259"/>
      <c r="X578" s="264">
        <v>10.9</v>
      </c>
      <c r="Y578" s="259"/>
      <c r="Z578" s="259">
        <v>12.4</v>
      </c>
      <c r="AA578" s="259"/>
      <c r="AB578" s="259"/>
      <c r="AC578" s="259"/>
      <c r="AD578" s="264"/>
      <c r="AE578" s="259"/>
      <c r="AF578" s="259"/>
      <c r="AG578" s="259"/>
      <c r="AH578" s="259"/>
      <c r="AI578" s="259"/>
      <c r="AJ578" s="265"/>
      <c r="AK578" s="266"/>
      <c r="AL578" s="266"/>
      <c r="AM578" s="266"/>
      <c r="AN578" s="266"/>
      <c r="AO578" s="267"/>
      <c r="AP578" s="266"/>
      <c r="AQ578" s="266"/>
      <c r="AR578" s="266"/>
      <c r="AS578" s="266"/>
      <c r="AT578" s="266"/>
      <c r="AU578" s="267"/>
    </row>
    <row r="579" spans="1:55" ht="18" customHeight="1" x14ac:dyDescent="0.35">
      <c r="A579" s="274">
        <f>MATCH(B579,STUDIES!$A$3:$A$502,0)</f>
        <v>46</v>
      </c>
      <c r="B579" s="256" t="s">
        <v>316</v>
      </c>
      <c r="C579" s="458"/>
      <c r="D579" s="278" t="s">
        <v>1053</v>
      </c>
      <c r="E579" s="270" t="s">
        <v>183</v>
      </c>
      <c r="F579" s="155" t="str">
        <f>_xlfn.XLOOKUP(B579,STUDIES!$A$3:$A$1063,STUDIES!$G$3:$G$1063,"Not Found!")</f>
        <v>A</v>
      </c>
      <c r="G579" s="257" t="s">
        <v>147</v>
      </c>
      <c r="H579" s="257">
        <v>16</v>
      </c>
      <c r="I579" s="299">
        <v>61</v>
      </c>
      <c r="J579" s="300"/>
      <c r="K579" s="259">
        <v>6.98</v>
      </c>
      <c r="L579" s="259"/>
      <c r="M579" s="259">
        <v>2.3199999999999998</v>
      </c>
      <c r="N579" s="259"/>
      <c r="O579" s="259"/>
      <c r="P579" s="259"/>
      <c r="Q579" s="290" t="s">
        <v>150</v>
      </c>
      <c r="R579" s="280"/>
      <c r="S579" s="263"/>
      <c r="T579" s="259"/>
      <c r="U579" s="259"/>
      <c r="V579" s="259"/>
      <c r="W579" s="259"/>
      <c r="X579" s="264">
        <v>4.21</v>
      </c>
      <c r="Y579" s="259"/>
      <c r="Z579" s="259">
        <v>2.76</v>
      </c>
      <c r="AA579" s="259"/>
      <c r="AB579" s="259"/>
      <c r="AC579" s="259"/>
      <c r="AD579" s="264"/>
      <c r="AE579" s="259"/>
      <c r="AF579" s="259"/>
      <c r="AG579" s="259"/>
      <c r="AH579" s="259"/>
      <c r="AI579" s="259"/>
      <c r="AJ579" s="265"/>
      <c r="AK579" s="266"/>
      <c r="AL579" s="266"/>
      <c r="AM579" s="266"/>
      <c r="AN579" s="266"/>
      <c r="AO579" s="267"/>
      <c r="AP579" s="266"/>
      <c r="AQ579" s="266"/>
      <c r="AR579" s="266"/>
      <c r="AS579" s="266"/>
      <c r="AT579" s="266"/>
      <c r="AU579" s="267"/>
    </row>
    <row r="580" spans="1:55" ht="18" customHeight="1" x14ac:dyDescent="0.35">
      <c r="A580" s="274">
        <f>MATCH(B580,STUDIES!$A$3:$A$502,0)</f>
        <v>46</v>
      </c>
      <c r="B580" s="270" t="s">
        <v>316</v>
      </c>
      <c r="C580" s="459"/>
      <c r="D580" s="278" t="s">
        <v>1053</v>
      </c>
      <c r="E580" s="270" t="s">
        <v>153</v>
      </c>
      <c r="F580" s="155" t="str">
        <f>_xlfn.XLOOKUP(B580,STUDIES!$A$3:$A$1063,STUDIES!$G$3:$G$1063,"Not Found!")</f>
        <v>A</v>
      </c>
      <c r="G580" s="257" t="s">
        <v>147</v>
      </c>
      <c r="H580" s="257">
        <v>16</v>
      </c>
      <c r="I580" s="257">
        <v>61</v>
      </c>
      <c r="J580" s="258"/>
      <c r="K580" s="259"/>
      <c r="L580" s="259"/>
      <c r="M580" s="259"/>
      <c r="N580" s="259"/>
      <c r="O580" s="259"/>
      <c r="P580" s="259"/>
      <c r="Q580" s="279" t="s">
        <v>90</v>
      </c>
      <c r="R580" s="289">
        <v>-10.4</v>
      </c>
      <c r="S580" s="259">
        <v>0.9</v>
      </c>
      <c r="T580" s="259"/>
      <c r="U580" s="259"/>
      <c r="V580" s="259"/>
      <c r="W580" s="259"/>
      <c r="X580" s="264"/>
      <c r="Y580" s="259"/>
      <c r="Z580" s="259"/>
      <c r="AA580" s="259"/>
      <c r="AB580" s="259"/>
      <c r="AC580" s="259"/>
      <c r="AD580" s="264"/>
      <c r="AE580" s="259"/>
      <c r="AF580" s="259"/>
      <c r="AG580" s="259"/>
      <c r="AH580" s="259"/>
      <c r="AI580" s="259"/>
      <c r="AJ580" s="265"/>
      <c r="AK580" s="266"/>
      <c r="AL580" s="266"/>
      <c r="AM580" s="266"/>
      <c r="AN580" s="266"/>
      <c r="AO580" s="267"/>
      <c r="AP580" s="266"/>
      <c r="AQ580" s="266"/>
      <c r="AR580" s="266"/>
      <c r="AS580" s="266"/>
      <c r="AT580" s="266"/>
      <c r="AU580" s="267"/>
    </row>
    <row r="581" spans="1:55" ht="18" customHeight="1" x14ac:dyDescent="0.35">
      <c r="A581" s="274">
        <f>MATCH(B581,STUDIES!$A$3:$A$502,0)</f>
        <v>46</v>
      </c>
      <c r="B581" s="272" t="s">
        <v>316</v>
      </c>
      <c r="D581" s="278" t="s">
        <v>1053</v>
      </c>
      <c r="E581" s="272" t="s">
        <v>1163</v>
      </c>
      <c r="F581" s="155" t="str">
        <f>_xlfn.XLOOKUP(B581,STUDIES!$A$3:$A$1063,STUDIES!$G$3:$G$1063,"Not Found!")</f>
        <v>A</v>
      </c>
      <c r="G581" s="273" t="s">
        <v>147</v>
      </c>
      <c r="H581" s="273">
        <v>16</v>
      </c>
      <c r="I581" s="273">
        <v>61</v>
      </c>
      <c r="J581" s="274">
        <v>3</v>
      </c>
    </row>
    <row r="582" spans="1:55" ht="18" customHeight="1" x14ac:dyDescent="0.35">
      <c r="A582" s="274">
        <f>MATCH(B582,STUDIES!$A$3:$A$502,0)</f>
        <v>46</v>
      </c>
      <c r="B582" s="272" t="s">
        <v>316</v>
      </c>
      <c r="D582" s="281" t="s">
        <v>1053</v>
      </c>
      <c r="E582" s="272" t="s">
        <v>1167</v>
      </c>
      <c r="F582" s="155" t="str">
        <f>_xlfn.XLOOKUP(B582,STUDIES!$A$3:$A$1063,STUDIES!$G$3:$G$1063,"Not Found!")</f>
        <v>A</v>
      </c>
      <c r="G582" s="273" t="s">
        <v>147</v>
      </c>
      <c r="H582" s="273">
        <v>16</v>
      </c>
      <c r="I582" s="273">
        <v>61</v>
      </c>
      <c r="J582" s="274">
        <v>3</v>
      </c>
    </row>
    <row r="583" spans="1:55" ht="18" customHeight="1" x14ac:dyDescent="0.35">
      <c r="A583" s="274">
        <f>MATCH(B583,STUDIES!$A$3:$A$502,0)</f>
        <v>46</v>
      </c>
      <c r="B583" s="270" t="s">
        <v>316</v>
      </c>
      <c r="C583" s="459"/>
      <c r="D583" s="269" t="s">
        <v>1059</v>
      </c>
      <c r="E583" s="256" t="s">
        <v>154</v>
      </c>
      <c r="F583" s="155" t="str">
        <f>_xlfn.XLOOKUP(B583,STUDIES!$A$3:$A$1063,STUDIES!$G$3:$G$1063,"Not Found!")</f>
        <v>A</v>
      </c>
      <c r="G583" s="257" t="s">
        <v>147</v>
      </c>
      <c r="H583" s="257">
        <v>16</v>
      </c>
      <c r="I583" s="257">
        <v>63</v>
      </c>
      <c r="J583" s="258"/>
      <c r="K583" s="263">
        <v>15</v>
      </c>
      <c r="L583" s="259"/>
      <c r="M583" s="263">
        <v>7.8</v>
      </c>
      <c r="N583" s="259"/>
      <c r="O583" s="259"/>
      <c r="P583" s="259"/>
      <c r="Q583" s="290" t="s">
        <v>150</v>
      </c>
      <c r="R583" s="280"/>
      <c r="S583" s="263"/>
      <c r="T583" s="259"/>
      <c r="U583" s="259"/>
      <c r="V583" s="259"/>
      <c r="W583" s="259"/>
      <c r="X583" s="264">
        <v>4.3</v>
      </c>
      <c r="Y583" s="259"/>
      <c r="Z583" s="259">
        <v>4.88</v>
      </c>
      <c r="AA583" s="259"/>
      <c r="AB583" s="259"/>
      <c r="AC583" s="259"/>
      <c r="AD583" s="264"/>
      <c r="AE583" s="259"/>
      <c r="AF583" s="259"/>
      <c r="AG583" s="259"/>
      <c r="AH583" s="259"/>
      <c r="AI583" s="259"/>
      <c r="AJ583" s="265"/>
      <c r="AK583" s="266"/>
      <c r="AL583" s="266"/>
      <c r="AM583" s="266"/>
      <c r="AN583" s="266"/>
      <c r="AO583" s="267"/>
      <c r="AP583" s="266"/>
      <c r="AQ583" s="266"/>
      <c r="AR583" s="266"/>
      <c r="AS583" s="266"/>
      <c r="AT583" s="266"/>
      <c r="AU583" s="267"/>
    </row>
    <row r="584" spans="1:55" ht="18" customHeight="1" x14ac:dyDescent="0.35">
      <c r="A584" s="274">
        <f>MATCH(B584,STUDIES!$A$3:$A$502,0)</f>
        <v>46</v>
      </c>
      <c r="B584" s="256" t="s">
        <v>316</v>
      </c>
      <c r="C584" s="458"/>
      <c r="D584" s="269" t="s">
        <v>1059</v>
      </c>
      <c r="E584" s="256" t="s">
        <v>151</v>
      </c>
      <c r="F584" s="155" t="str">
        <f>_xlfn.XLOOKUP(B584,STUDIES!$A$3:$A$1063,STUDIES!$G$3:$G$1063,"Not Found!")</f>
        <v>A</v>
      </c>
      <c r="G584" s="257" t="s">
        <v>147</v>
      </c>
      <c r="H584" s="257">
        <v>16</v>
      </c>
      <c r="I584" s="257">
        <v>63</v>
      </c>
      <c r="J584" s="258"/>
      <c r="K584" s="259">
        <v>30.1</v>
      </c>
      <c r="L584" s="259"/>
      <c r="M584" s="259">
        <v>11.2</v>
      </c>
      <c r="N584" s="259"/>
      <c r="O584" s="259"/>
      <c r="P584" s="259"/>
      <c r="Q584" s="290" t="s">
        <v>150</v>
      </c>
      <c r="R584" s="280"/>
      <c r="S584" s="263"/>
      <c r="T584" s="259"/>
      <c r="U584" s="259"/>
      <c r="V584" s="259"/>
      <c r="W584" s="259"/>
      <c r="X584" s="264">
        <v>7.2</v>
      </c>
      <c r="Y584" s="259"/>
      <c r="Z584" s="259">
        <v>8.8000000000000007</v>
      </c>
      <c r="AA584" s="259"/>
      <c r="AB584" s="259"/>
      <c r="AC584" s="259"/>
      <c r="AD584" s="264"/>
      <c r="AE584" s="259"/>
      <c r="AF584" s="259"/>
      <c r="AG584" s="259"/>
      <c r="AH584" s="259"/>
      <c r="AI584" s="259"/>
      <c r="AJ584" s="265"/>
      <c r="AK584" s="266"/>
      <c r="AL584" s="266"/>
      <c r="AM584" s="266"/>
      <c r="AN584" s="266"/>
      <c r="AO584" s="267"/>
      <c r="AP584" s="266"/>
      <c r="AQ584" s="266"/>
      <c r="AR584" s="266"/>
      <c r="AS584" s="266"/>
      <c r="AT584" s="266"/>
      <c r="AU584" s="267"/>
    </row>
    <row r="585" spans="1:55" ht="18" customHeight="1" x14ac:dyDescent="0.35">
      <c r="A585" s="274">
        <f>MATCH(B585,STUDIES!$A$3:$A$502,0)</f>
        <v>46</v>
      </c>
      <c r="B585" s="256" t="s">
        <v>316</v>
      </c>
      <c r="C585" s="458"/>
      <c r="D585" s="269" t="s">
        <v>1059</v>
      </c>
      <c r="E585" s="270" t="s">
        <v>183</v>
      </c>
      <c r="F585" s="155" t="str">
        <f>_xlfn.XLOOKUP(B585,STUDIES!$A$3:$A$1063,STUDIES!$G$3:$G$1063,"Not Found!")</f>
        <v>A</v>
      </c>
      <c r="G585" s="257" t="s">
        <v>147</v>
      </c>
      <c r="H585" s="257">
        <v>16</v>
      </c>
      <c r="I585" s="257">
        <v>63</v>
      </c>
      <c r="J585" s="258"/>
      <c r="K585" s="259">
        <v>6.54</v>
      </c>
      <c r="L585" s="259"/>
      <c r="M585" s="259">
        <v>1.54</v>
      </c>
      <c r="N585" s="259"/>
      <c r="O585" s="259"/>
      <c r="P585" s="259"/>
      <c r="Q585" s="290" t="s">
        <v>150</v>
      </c>
      <c r="R585" s="280"/>
      <c r="S585" s="263"/>
      <c r="T585" s="259"/>
      <c r="U585" s="259"/>
      <c r="V585" s="259"/>
      <c r="W585" s="259"/>
      <c r="X585" s="264">
        <v>3.07</v>
      </c>
      <c r="Y585" s="259"/>
      <c r="Z585" s="259">
        <v>2.15</v>
      </c>
      <c r="AA585" s="259"/>
      <c r="AB585" s="259"/>
      <c r="AC585" s="259"/>
      <c r="AD585" s="264"/>
      <c r="AE585" s="259"/>
      <c r="AF585" s="259"/>
      <c r="AG585" s="259"/>
      <c r="AH585" s="259"/>
      <c r="AI585" s="259"/>
      <c r="AJ585" s="265"/>
      <c r="AK585" s="266"/>
      <c r="AL585" s="266"/>
      <c r="AM585" s="266"/>
      <c r="AN585" s="266"/>
      <c r="AO585" s="267"/>
      <c r="AP585" s="266"/>
      <c r="AQ585" s="266"/>
      <c r="AR585" s="266"/>
      <c r="AS585" s="266"/>
      <c r="AT585" s="266"/>
      <c r="AU585" s="267"/>
    </row>
    <row r="586" spans="1:55" ht="18" customHeight="1" x14ac:dyDescent="0.35">
      <c r="A586" s="274">
        <f>MATCH(B586,STUDIES!$A$3:$A$502,0)</f>
        <v>46</v>
      </c>
      <c r="B586" s="270" t="s">
        <v>316</v>
      </c>
      <c r="C586" s="459"/>
      <c r="D586" s="269" t="s">
        <v>1059</v>
      </c>
      <c r="E586" s="270" t="s">
        <v>153</v>
      </c>
      <c r="F586" s="155" t="str">
        <f>_xlfn.XLOOKUP(B586,STUDIES!$A$3:$A$1063,STUDIES!$G$3:$G$1063,"Not Found!")</f>
        <v>A</v>
      </c>
      <c r="G586" s="257" t="s">
        <v>147</v>
      </c>
      <c r="H586" s="257">
        <v>16</v>
      </c>
      <c r="I586" s="257">
        <v>63</v>
      </c>
      <c r="J586" s="258"/>
      <c r="K586" s="259"/>
      <c r="L586" s="259"/>
      <c r="M586" s="259"/>
      <c r="N586" s="259"/>
      <c r="O586" s="259"/>
      <c r="P586" s="259"/>
      <c r="Q586" s="279" t="s">
        <v>90</v>
      </c>
      <c r="R586" s="289">
        <v>-12.1</v>
      </c>
      <c r="S586" s="259">
        <v>0.9</v>
      </c>
      <c r="T586" s="259"/>
      <c r="U586" s="259"/>
      <c r="V586" s="259"/>
      <c r="W586" s="259"/>
      <c r="X586" s="264"/>
      <c r="Y586" s="259"/>
      <c r="Z586" s="259"/>
      <c r="AA586" s="259"/>
      <c r="AB586" s="259"/>
      <c r="AC586" s="259"/>
      <c r="AD586" s="264"/>
      <c r="AE586" s="259"/>
      <c r="AF586" s="259"/>
      <c r="AG586" s="259"/>
      <c r="AH586" s="259"/>
      <c r="AI586" s="259"/>
      <c r="AJ586" s="265"/>
      <c r="AK586" s="266"/>
      <c r="AL586" s="266"/>
      <c r="AM586" s="266"/>
      <c r="AN586" s="266"/>
      <c r="AO586" s="267"/>
      <c r="AP586" s="266"/>
      <c r="AQ586" s="266"/>
      <c r="AR586" s="266"/>
      <c r="AS586" s="266"/>
      <c r="AT586" s="266"/>
      <c r="AU586" s="267"/>
    </row>
    <row r="587" spans="1:55" s="277" customFormat="1" ht="18" customHeight="1" x14ac:dyDescent="0.35">
      <c r="A587" s="274">
        <f>MATCH(B587,STUDIES!$A$3:$A$502,0)</f>
        <v>46</v>
      </c>
      <c r="B587" s="270" t="s">
        <v>316</v>
      </c>
      <c r="C587" s="459"/>
      <c r="D587" s="278" t="s">
        <v>1056</v>
      </c>
      <c r="E587" s="256" t="s">
        <v>154</v>
      </c>
      <c r="F587" s="155" t="str">
        <f>_xlfn.XLOOKUP(B587,STUDIES!$A$3:$A$1063,STUDIES!$G$3:$G$1063,"Not Found!")</f>
        <v>A</v>
      </c>
      <c r="G587" s="257" t="s">
        <v>147</v>
      </c>
      <c r="H587" s="257">
        <v>16</v>
      </c>
      <c r="I587" s="257">
        <v>64</v>
      </c>
      <c r="J587" s="258"/>
      <c r="K587" s="263">
        <v>14.5</v>
      </c>
      <c r="L587" s="259"/>
      <c r="M587" s="263">
        <v>7.2</v>
      </c>
      <c r="N587" s="259"/>
      <c r="O587" s="259"/>
      <c r="P587" s="259"/>
      <c r="Q587" s="290" t="s">
        <v>150</v>
      </c>
      <c r="R587" s="280"/>
      <c r="S587" s="263"/>
      <c r="T587" s="259"/>
      <c r="U587" s="259"/>
      <c r="V587" s="259"/>
      <c r="W587" s="259"/>
      <c r="X587" s="264">
        <v>6.6</v>
      </c>
      <c r="Y587" s="259"/>
      <c r="Z587" s="259">
        <v>6.77</v>
      </c>
      <c r="AA587" s="259"/>
      <c r="AB587" s="259"/>
      <c r="AC587" s="259"/>
      <c r="AD587" s="264"/>
      <c r="AE587" s="259"/>
      <c r="AF587" s="259"/>
      <c r="AG587" s="259"/>
      <c r="AH587" s="259"/>
      <c r="AI587" s="259"/>
      <c r="AJ587" s="265"/>
      <c r="AK587" s="266"/>
      <c r="AL587" s="266"/>
      <c r="AM587" s="266"/>
      <c r="AN587" s="266"/>
      <c r="AO587" s="267"/>
      <c r="AP587" s="266"/>
      <c r="AQ587" s="266"/>
      <c r="AR587" s="266"/>
      <c r="AS587" s="266"/>
      <c r="AT587" s="266"/>
      <c r="AU587" s="267"/>
      <c r="AV587" s="268"/>
      <c r="AW587" s="268"/>
      <c r="AX587" s="268"/>
      <c r="AY587" s="268"/>
      <c r="AZ587" s="268"/>
      <c r="BA587" s="268"/>
      <c r="BB587" s="268"/>
      <c r="BC587" s="268"/>
    </row>
    <row r="588" spans="1:55" s="277" customFormat="1" ht="18" customHeight="1" x14ac:dyDescent="0.35">
      <c r="A588" s="274">
        <f>MATCH(B588,STUDIES!$A$3:$A$502,0)</f>
        <v>46</v>
      </c>
      <c r="B588" s="256" t="s">
        <v>316</v>
      </c>
      <c r="C588" s="458"/>
      <c r="D588" s="278" t="s">
        <v>1056</v>
      </c>
      <c r="E588" s="256" t="s">
        <v>151</v>
      </c>
      <c r="F588" s="155" t="str">
        <f>_xlfn.XLOOKUP(B588,STUDIES!$A$3:$A$1063,STUDIES!$G$3:$G$1063,"Not Found!")</f>
        <v>A</v>
      </c>
      <c r="G588" s="257" t="s">
        <v>147</v>
      </c>
      <c r="H588" s="257">
        <v>16</v>
      </c>
      <c r="I588" s="257">
        <v>64</v>
      </c>
      <c r="J588" s="258"/>
      <c r="K588" s="259">
        <v>33.799999999999997</v>
      </c>
      <c r="L588" s="259"/>
      <c r="M588" s="259">
        <v>14.5</v>
      </c>
      <c r="N588" s="259"/>
      <c r="O588" s="259"/>
      <c r="P588" s="259"/>
      <c r="Q588" s="290" t="s">
        <v>150</v>
      </c>
      <c r="R588" s="280"/>
      <c r="S588" s="263"/>
      <c r="T588" s="259"/>
      <c r="U588" s="259"/>
      <c r="V588" s="259"/>
      <c r="W588" s="259"/>
      <c r="X588" s="264">
        <v>10.7</v>
      </c>
      <c r="Y588" s="259"/>
      <c r="Z588" s="259">
        <v>12.9</v>
      </c>
      <c r="AA588" s="259"/>
      <c r="AB588" s="259"/>
      <c r="AC588" s="259"/>
      <c r="AD588" s="264"/>
      <c r="AE588" s="259"/>
      <c r="AF588" s="259"/>
      <c r="AG588" s="259"/>
      <c r="AH588" s="259"/>
      <c r="AI588" s="259"/>
      <c r="AJ588" s="265"/>
      <c r="AK588" s="266"/>
      <c r="AL588" s="266"/>
      <c r="AM588" s="266"/>
      <c r="AN588" s="266"/>
      <c r="AO588" s="267"/>
      <c r="AP588" s="266"/>
      <c r="AQ588" s="266"/>
      <c r="AR588" s="266"/>
      <c r="AS588" s="266"/>
      <c r="AT588" s="266"/>
      <c r="AU588" s="267"/>
      <c r="AV588" s="268"/>
      <c r="AW588" s="268"/>
      <c r="AX588" s="268"/>
      <c r="AY588" s="268"/>
      <c r="AZ588" s="268"/>
      <c r="BA588" s="268"/>
      <c r="BB588" s="268"/>
      <c r="BC588" s="268"/>
    </row>
    <row r="589" spans="1:55" s="277" customFormat="1" ht="18" customHeight="1" x14ac:dyDescent="0.35">
      <c r="A589" s="274">
        <f>MATCH(B589,STUDIES!$A$3:$A$502,0)</f>
        <v>46</v>
      </c>
      <c r="B589" s="256" t="s">
        <v>316</v>
      </c>
      <c r="C589" s="458"/>
      <c r="D589" s="278" t="s">
        <v>1056</v>
      </c>
      <c r="E589" s="270" t="s">
        <v>183</v>
      </c>
      <c r="F589" s="155" t="str">
        <f>_xlfn.XLOOKUP(B589,STUDIES!$A$3:$A$1063,STUDIES!$G$3:$G$1063,"Not Found!")</f>
        <v>A</v>
      </c>
      <c r="G589" s="257" t="s">
        <v>147</v>
      </c>
      <c r="H589" s="257">
        <v>16</v>
      </c>
      <c r="I589" s="257">
        <v>64</v>
      </c>
      <c r="J589" s="258"/>
      <c r="K589" s="259">
        <v>6.74</v>
      </c>
      <c r="L589" s="259"/>
      <c r="M589" s="259">
        <v>2.0699999999999998</v>
      </c>
      <c r="N589" s="259"/>
      <c r="O589" s="259"/>
      <c r="P589" s="259"/>
      <c r="Q589" s="290" t="s">
        <v>150</v>
      </c>
      <c r="R589" s="280"/>
      <c r="S589" s="263"/>
      <c r="T589" s="259"/>
      <c r="U589" s="259"/>
      <c r="V589" s="259"/>
      <c r="W589" s="259"/>
      <c r="X589" s="264">
        <v>3.64</v>
      </c>
      <c r="Y589" s="259"/>
      <c r="Z589" s="259">
        <v>2.39</v>
      </c>
      <c r="AA589" s="259"/>
      <c r="AB589" s="259"/>
      <c r="AC589" s="259"/>
      <c r="AD589" s="264"/>
      <c r="AE589" s="259"/>
      <c r="AF589" s="259"/>
      <c r="AG589" s="259"/>
      <c r="AH589" s="259"/>
      <c r="AI589" s="259"/>
      <c r="AJ589" s="265"/>
      <c r="AK589" s="266"/>
      <c r="AL589" s="266"/>
      <c r="AM589" s="266"/>
      <c r="AN589" s="266"/>
      <c r="AO589" s="267"/>
      <c r="AP589" s="266"/>
      <c r="AQ589" s="266"/>
      <c r="AR589" s="266"/>
      <c r="AS589" s="266"/>
      <c r="AT589" s="266"/>
      <c r="AU589" s="267"/>
      <c r="AV589" s="268"/>
      <c r="AW589" s="268"/>
      <c r="AX589" s="268"/>
      <c r="AY589" s="268"/>
      <c r="AZ589" s="268"/>
      <c r="BA589" s="268"/>
      <c r="BB589" s="268"/>
      <c r="BC589" s="268"/>
    </row>
    <row r="590" spans="1:55" s="277" customFormat="1" ht="18" customHeight="1" x14ac:dyDescent="0.35">
      <c r="A590" s="274">
        <f>MATCH(B590,STUDIES!$A$3:$A$502,0)</f>
        <v>46</v>
      </c>
      <c r="B590" s="270" t="s">
        <v>316</v>
      </c>
      <c r="C590" s="459"/>
      <c r="D590" s="278" t="s">
        <v>1056</v>
      </c>
      <c r="E590" s="270" t="s">
        <v>153</v>
      </c>
      <c r="F590" s="155" t="str">
        <f>_xlfn.XLOOKUP(B590,STUDIES!$A$3:$A$1063,STUDIES!$G$3:$G$1063,"Not Found!")</f>
        <v>A</v>
      </c>
      <c r="G590" s="257" t="s">
        <v>147</v>
      </c>
      <c r="H590" s="257">
        <v>16</v>
      </c>
      <c r="I590" s="257">
        <v>64</v>
      </c>
      <c r="J590" s="258"/>
      <c r="K590" s="259"/>
      <c r="L590" s="259"/>
      <c r="M590" s="259"/>
      <c r="N590" s="259"/>
      <c r="O590" s="259"/>
      <c r="P590" s="259"/>
      <c r="Q590" s="279" t="s">
        <v>90</v>
      </c>
      <c r="R590" s="289">
        <v>-9.8000000000000007</v>
      </c>
      <c r="S590" s="259">
        <v>0.9</v>
      </c>
      <c r="T590" s="259"/>
      <c r="U590" s="259"/>
      <c r="V590" s="259"/>
      <c r="W590" s="259"/>
      <c r="X590" s="264"/>
      <c r="Y590" s="259"/>
      <c r="Z590" s="259"/>
      <c r="AA590" s="259"/>
      <c r="AB590" s="259"/>
      <c r="AC590" s="259"/>
      <c r="AD590" s="264"/>
      <c r="AE590" s="259"/>
      <c r="AF590" s="259"/>
      <c r="AG590" s="259"/>
      <c r="AH590" s="259"/>
      <c r="AI590" s="259"/>
      <c r="AJ590" s="265"/>
      <c r="AK590" s="266"/>
      <c r="AL590" s="266"/>
      <c r="AM590" s="266"/>
      <c r="AN590" s="266"/>
      <c r="AO590" s="267"/>
      <c r="AP590" s="266"/>
      <c r="AQ590" s="266"/>
      <c r="AR590" s="266"/>
      <c r="AS590" s="266"/>
      <c r="AT590" s="266"/>
      <c r="AU590" s="267"/>
      <c r="AV590" s="268"/>
      <c r="AW590" s="268"/>
      <c r="AX590" s="268"/>
      <c r="AY590" s="268"/>
      <c r="AZ590" s="268"/>
      <c r="BA590" s="268"/>
      <c r="BB590" s="268"/>
      <c r="BC590" s="268"/>
    </row>
    <row r="591" spans="1:55" s="277" customFormat="1" ht="18" customHeight="1" x14ac:dyDescent="0.35">
      <c r="A591" s="274">
        <f>MATCH(B591,STUDIES!$A$3:$A$502,0)</f>
        <v>46</v>
      </c>
      <c r="B591" s="270" t="s">
        <v>316</v>
      </c>
      <c r="C591" s="459"/>
      <c r="D591" s="278" t="s">
        <v>1057</v>
      </c>
      <c r="E591" s="256" t="s">
        <v>154</v>
      </c>
      <c r="F591" s="155" t="str">
        <f>_xlfn.XLOOKUP(B591,STUDIES!$A$3:$A$1063,STUDIES!$G$3:$G$1063,"Not Found!")</f>
        <v>A</v>
      </c>
      <c r="G591" s="257" t="s">
        <v>147</v>
      </c>
      <c r="H591" s="257">
        <v>16</v>
      </c>
      <c r="I591" s="257">
        <v>65</v>
      </c>
      <c r="J591" s="258"/>
      <c r="K591" s="263">
        <v>13.3</v>
      </c>
      <c r="L591" s="259"/>
      <c r="M591" s="263">
        <v>7.29</v>
      </c>
      <c r="N591" s="259"/>
      <c r="O591" s="259"/>
      <c r="P591" s="259"/>
      <c r="Q591" s="290" t="s">
        <v>150</v>
      </c>
      <c r="R591" s="280"/>
      <c r="S591" s="263"/>
      <c r="T591" s="259"/>
      <c r="U591" s="259"/>
      <c r="V591" s="259"/>
      <c r="W591" s="259"/>
      <c r="X591" s="264">
        <v>6.8</v>
      </c>
      <c r="Y591" s="259"/>
      <c r="Z591" s="259">
        <v>6.85</v>
      </c>
      <c r="AA591" s="259"/>
      <c r="AB591" s="259"/>
      <c r="AC591" s="259"/>
      <c r="AD591" s="264"/>
      <c r="AE591" s="259"/>
      <c r="AF591" s="259"/>
      <c r="AG591" s="259"/>
      <c r="AH591" s="259"/>
      <c r="AI591" s="259"/>
      <c r="AJ591" s="265"/>
      <c r="AK591" s="266"/>
      <c r="AL591" s="266"/>
      <c r="AM591" s="266"/>
      <c r="AN591" s="266"/>
      <c r="AO591" s="267"/>
      <c r="AP591" s="266"/>
      <c r="AQ591" s="266"/>
      <c r="AR591" s="266"/>
      <c r="AS591" s="266"/>
      <c r="AT591" s="266"/>
      <c r="AU591" s="267"/>
      <c r="AV591" s="268"/>
      <c r="AW591" s="268"/>
      <c r="AX591" s="268"/>
      <c r="AY591" s="268"/>
      <c r="AZ591" s="268"/>
      <c r="BA591" s="268"/>
      <c r="BB591" s="268"/>
      <c r="BC591" s="268"/>
    </row>
    <row r="592" spans="1:55" s="277" customFormat="1" ht="18" customHeight="1" x14ac:dyDescent="0.35">
      <c r="A592" s="274">
        <f>MATCH(B592,STUDIES!$A$3:$A$502,0)</f>
        <v>46</v>
      </c>
      <c r="B592" s="256" t="s">
        <v>316</v>
      </c>
      <c r="C592" s="458"/>
      <c r="D592" s="278" t="s">
        <v>1057</v>
      </c>
      <c r="E592" s="256" t="s">
        <v>151</v>
      </c>
      <c r="F592" s="155" t="str">
        <f>_xlfn.XLOOKUP(B592,STUDIES!$A$3:$A$1063,STUDIES!$G$3:$G$1063,"Not Found!")</f>
        <v>A</v>
      </c>
      <c r="G592" s="257" t="s">
        <v>147</v>
      </c>
      <c r="H592" s="257">
        <v>16</v>
      </c>
      <c r="I592" s="257">
        <v>65</v>
      </c>
      <c r="J592" s="258"/>
      <c r="K592" s="259">
        <v>29.4</v>
      </c>
      <c r="L592" s="259"/>
      <c r="M592" s="259">
        <v>11.5</v>
      </c>
      <c r="N592" s="259"/>
      <c r="O592" s="259"/>
      <c r="P592" s="259"/>
      <c r="Q592" s="290" t="s">
        <v>150</v>
      </c>
      <c r="R592" s="280"/>
      <c r="S592" s="263"/>
      <c r="T592" s="259"/>
      <c r="U592" s="259"/>
      <c r="V592" s="259"/>
      <c r="W592" s="259"/>
      <c r="X592" s="264">
        <v>9.8000000000000007</v>
      </c>
      <c r="Y592" s="259"/>
      <c r="Z592" s="259">
        <v>11.2</v>
      </c>
      <c r="AA592" s="259"/>
      <c r="AB592" s="259"/>
      <c r="AC592" s="259"/>
      <c r="AD592" s="264"/>
      <c r="AE592" s="259"/>
      <c r="AF592" s="259"/>
      <c r="AG592" s="259"/>
      <c r="AH592" s="259"/>
      <c r="AI592" s="259"/>
      <c r="AJ592" s="265"/>
      <c r="AK592" s="266"/>
      <c r="AL592" s="266"/>
      <c r="AM592" s="266"/>
      <c r="AN592" s="266"/>
      <c r="AO592" s="267"/>
      <c r="AP592" s="266"/>
      <c r="AQ592" s="266"/>
      <c r="AR592" s="266"/>
      <c r="AS592" s="266"/>
      <c r="AT592" s="266"/>
      <c r="AU592" s="267"/>
      <c r="AV592" s="268"/>
      <c r="AW592" s="268"/>
      <c r="AX592" s="268"/>
      <c r="AY592" s="268"/>
      <c r="AZ592" s="268"/>
      <c r="BA592" s="268"/>
      <c r="BB592" s="268"/>
      <c r="BC592" s="268"/>
    </row>
    <row r="593" spans="1:55" s="277" customFormat="1" ht="18" customHeight="1" x14ac:dyDescent="0.35">
      <c r="A593" s="274">
        <f>MATCH(B593,STUDIES!$A$3:$A$502,0)</f>
        <v>46</v>
      </c>
      <c r="B593" s="256" t="s">
        <v>316</v>
      </c>
      <c r="C593" s="458"/>
      <c r="D593" s="278" t="s">
        <v>1057</v>
      </c>
      <c r="E593" s="270" t="s">
        <v>183</v>
      </c>
      <c r="F593" s="155" t="str">
        <f>_xlfn.XLOOKUP(B593,STUDIES!$A$3:$A$1063,STUDIES!$G$3:$G$1063,"Not Found!")</f>
        <v>A</v>
      </c>
      <c r="G593" s="257" t="s">
        <v>147</v>
      </c>
      <c r="H593" s="257">
        <v>16</v>
      </c>
      <c r="I593" s="257">
        <v>65</v>
      </c>
      <c r="J593" s="258"/>
      <c r="K593" s="259">
        <v>6.84</v>
      </c>
      <c r="L593" s="259"/>
      <c r="M593" s="259">
        <v>1.85</v>
      </c>
      <c r="N593" s="259"/>
      <c r="O593" s="259"/>
      <c r="P593" s="259"/>
      <c r="Q593" s="290" t="s">
        <v>150</v>
      </c>
      <c r="R593" s="280"/>
      <c r="S593" s="263"/>
      <c r="T593" s="259"/>
      <c r="U593" s="259"/>
      <c r="V593" s="259"/>
      <c r="W593" s="259"/>
      <c r="X593" s="264">
        <v>3.99</v>
      </c>
      <c r="Y593" s="259"/>
      <c r="Z593" s="259">
        <v>2.4500000000000002</v>
      </c>
      <c r="AA593" s="259"/>
      <c r="AB593" s="259"/>
      <c r="AC593" s="259"/>
      <c r="AD593" s="264"/>
      <c r="AE593" s="259"/>
      <c r="AF593" s="259"/>
      <c r="AG593" s="259"/>
      <c r="AH593" s="259"/>
      <c r="AI593" s="259"/>
      <c r="AJ593" s="265"/>
      <c r="AK593" s="266"/>
      <c r="AL593" s="266"/>
      <c r="AM593" s="266"/>
      <c r="AN593" s="266"/>
      <c r="AO593" s="267"/>
      <c r="AP593" s="266"/>
      <c r="AQ593" s="266"/>
      <c r="AR593" s="266"/>
      <c r="AS593" s="266"/>
      <c r="AT593" s="266"/>
      <c r="AU593" s="267"/>
      <c r="AV593" s="268"/>
      <c r="AW593" s="268"/>
      <c r="AX593" s="268"/>
      <c r="AY593" s="268"/>
      <c r="AZ593" s="268"/>
      <c r="BA593" s="268"/>
      <c r="BB593" s="268"/>
      <c r="BC593" s="268"/>
    </row>
    <row r="594" spans="1:55" s="277" customFormat="1" ht="18" customHeight="1" x14ac:dyDescent="0.35">
      <c r="A594" s="274">
        <f>MATCH(B594,STUDIES!$A$3:$A$502,0)</f>
        <v>46</v>
      </c>
      <c r="B594" s="270" t="s">
        <v>316</v>
      </c>
      <c r="C594" s="459"/>
      <c r="D594" s="278" t="s">
        <v>1057</v>
      </c>
      <c r="E594" s="270" t="s">
        <v>153</v>
      </c>
      <c r="F594" s="155" t="str">
        <f>_xlfn.XLOOKUP(B594,STUDIES!$A$3:$A$1063,STUDIES!$G$3:$G$1063,"Not Found!")</f>
        <v>A</v>
      </c>
      <c r="G594" s="257" t="s">
        <v>147</v>
      </c>
      <c r="H594" s="257">
        <v>16</v>
      </c>
      <c r="I594" s="257">
        <v>65</v>
      </c>
      <c r="J594" s="258"/>
      <c r="K594" s="259"/>
      <c r="L594" s="259"/>
      <c r="M594" s="259"/>
      <c r="N594" s="259"/>
      <c r="O594" s="259"/>
      <c r="P594" s="259"/>
      <c r="Q594" s="279" t="s">
        <v>90</v>
      </c>
      <c r="R594" s="289">
        <v>-9.9</v>
      </c>
      <c r="S594" s="259">
        <v>0.9</v>
      </c>
      <c r="T594" s="259"/>
      <c r="U594" s="259"/>
      <c r="V594" s="259"/>
      <c r="W594" s="259"/>
      <c r="X594" s="264"/>
      <c r="Y594" s="259"/>
      <c r="Z594" s="259"/>
      <c r="AA594" s="259"/>
      <c r="AB594" s="259"/>
      <c r="AC594" s="259"/>
      <c r="AD594" s="264"/>
      <c r="AE594" s="259"/>
      <c r="AF594" s="259"/>
      <c r="AG594" s="259"/>
      <c r="AH594" s="259"/>
      <c r="AI594" s="259"/>
      <c r="AJ594" s="265"/>
      <c r="AK594" s="266"/>
      <c r="AL594" s="266"/>
      <c r="AM594" s="266"/>
      <c r="AN594" s="266"/>
      <c r="AO594" s="267"/>
      <c r="AP594" s="266"/>
      <c r="AQ594" s="266"/>
      <c r="AR594" s="266"/>
      <c r="AS594" s="266"/>
      <c r="AT594" s="266"/>
      <c r="AU594" s="267"/>
      <c r="AV594" s="268"/>
      <c r="AW594" s="268"/>
      <c r="AX594" s="268"/>
      <c r="AY594" s="268"/>
      <c r="AZ594" s="268"/>
      <c r="BA594" s="268"/>
      <c r="BB594" s="268"/>
      <c r="BC594" s="268"/>
    </row>
    <row r="595" spans="1:55" s="277" customFormat="1" ht="18" customHeight="1" x14ac:dyDescent="0.35">
      <c r="A595" s="274">
        <f>MATCH(B595,STUDIES!$A$3:$A$502,0)</f>
        <v>46</v>
      </c>
      <c r="B595" s="272" t="s">
        <v>316</v>
      </c>
      <c r="C595" s="435"/>
      <c r="D595" s="278" t="s">
        <v>1057</v>
      </c>
      <c r="E595" s="272" t="s">
        <v>1163</v>
      </c>
      <c r="F595" s="155" t="str">
        <f>_xlfn.XLOOKUP(B595,STUDIES!$A$3:$A$1063,STUDIES!$G$3:$G$1063,"Not Found!")</f>
        <v>A</v>
      </c>
      <c r="G595" s="273" t="s">
        <v>147</v>
      </c>
      <c r="H595" s="273">
        <v>16</v>
      </c>
      <c r="I595" s="273">
        <v>65</v>
      </c>
      <c r="J595" s="274">
        <v>3</v>
      </c>
      <c r="K595" s="268"/>
      <c r="L595" s="268"/>
      <c r="M595" s="268"/>
      <c r="N595" s="268"/>
      <c r="O595" s="268"/>
      <c r="P595" s="268"/>
      <c r="Q595" s="282"/>
      <c r="R595" s="283"/>
      <c r="S595" s="268"/>
      <c r="T595" s="268"/>
      <c r="U595" s="268"/>
      <c r="V595" s="268"/>
      <c r="W595" s="268"/>
      <c r="X595" s="276"/>
      <c r="Y595" s="268"/>
      <c r="Z595" s="268"/>
      <c r="AA595" s="268"/>
      <c r="AB595" s="268"/>
      <c r="AC595" s="268"/>
      <c r="AD595" s="276"/>
      <c r="AE595" s="268"/>
      <c r="AF595" s="268"/>
      <c r="AG595" s="268"/>
      <c r="AH595" s="268"/>
      <c r="AI595" s="268"/>
      <c r="AJ595" s="276"/>
      <c r="AK595" s="268"/>
      <c r="AL595" s="268"/>
      <c r="AM595" s="268"/>
      <c r="AN595" s="268"/>
      <c r="AO595" s="275"/>
      <c r="AP595" s="268"/>
      <c r="AQ595" s="268"/>
      <c r="AR595" s="268"/>
      <c r="AS595" s="268"/>
      <c r="AT595" s="268"/>
      <c r="AU595" s="275"/>
      <c r="AV595" s="268"/>
      <c r="AW595" s="268"/>
      <c r="AX595" s="268"/>
      <c r="AY595" s="268"/>
      <c r="AZ595" s="268"/>
      <c r="BA595" s="268"/>
      <c r="BB595" s="268"/>
      <c r="BC595" s="268"/>
    </row>
    <row r="596" spans="1:55" s="277" customFormat="1" ht="18" customHeight="1" x14ac:dyDescent="0.35">
      <c r="A596" s="274">
        <f>MATCH(B596,STUDIES!$A$3:$A$502,0)</f>
        <v>46</v>
      </c>
      <c r="B596" s="272" t="s">
        <v>316</v>
      </c>
      <c r="C596" s="435"/>
      <c r="D596" s="281" t="s">
        <v>1057</v>
      </c>
      <c r="E596" s="272" t="s">
        <v>1167</v>
      </c>
      <c r="F596" s="155" t="str">
        <f>_xlfn.XLOOKUP(B596,STUDIES!$A$3:$A$1063,STUDIES!$G$3:$G$1063,"Not Found!")</f>
        <v>A</v>
      </c>
      <c r="G596" s="273" t="s">
        <v>147</v>
      </c>
      <c r="H596" s="273">
        <v>16</v>
      </c>
      <c r="I596" s="273">
        <v>65</v>
      </c>
      <c r="J596" s="274">
        <v>3</v>
      </c>
      <c r="K596" s="268"/>
      <c r="L596" s="268"/>
      <c r="M596" s="268"/>
      <c r="N596" s="268"/>
      <c r="O596" s="268"/>
      <c r="P596" s="268"/>
      <c r="Q596" s="282"/>
      <c r="R596" s="283"/>
      <c r="S596" s="268"/>
      <c r="T596" s="268"/>
      <c r="U596" s="268"/>
      <c r="V596" s="268"/>
      <c r="W596" s="268"/>
      <c r="X596" s="276"/>
      <c r="Y596" s="268"/>
      <c r="Z596" s="268"/>
      <c r="AA596" s="268"/>
      <c r="AB596" s="268"/>
      <c r="AC596" s="268"/>
      <c r="AD596" s="276"/>
      <c r="AE596" s="268"/>
      <c r="AF596" s="268"/>
      <c r="AG596" s="268"/>
      <c r="AH596" s="268"/>
      <c r="AI596" s="268"/>
      <c r="AJ596" s="276"/>
      <c r="AK596" s="268"/>
      <c r="AL596" s="268"/>
      <c r="AM596" s="268"/>
      <c r="AN596" s="268"/>
      <c r="AO596" s="275"/>
      <c r="AP596" s="268"/>
      <c r="AQ596" s="268"/>
      <c r="AR596" s="268"/>
      <c r="AS596" s="268"/>
      <c r="AT596" s="268"/>
      <c r="AU596" s="275"/>
      <c r="AV596" s="268"/>
      <c r="AW596" s="268"/>
      <c r="AX596" s="268"/>
      <c r="AY596" s="268"/>
      <c r="AZ596" s="268"/>
      <c r="BA596" s="268"/>
      <c r="BB596" s="268"/>
      <c r="BC596" s="268"/>
    </row>
    <row r="597" spans="1:55" s="277" customFormat="1" ht="18" customHeight="1" x14ac:dyDescent="0.35">
      <c r="A597" s="274">
        <f>MATCH(B597,STUDIES!$A$3:$A$502,0)</f>
        <v>46</v>
      </c>
      <c r="B597" s="270" t="s">
        <v>316</v>
      </c>
      <c r="C597" s="459"/>
      <c r="D597" s="278" t="s">
        <v>148</v>
      </c>
      <c r="E597" s="256" t="s">
        <v>154</v>
      </c>
      <c r="F597" s="155" t="str">
        <f>_xlfn.XLOOKUP(B597,STUDIES!$A$3:$A$1063,STUDIES!$G$3:$G$1063,"Not Found!")</f>
        <v>A</v>
      </c>
      <c r="G597" s="257" t="s">
        <v>147</v>
      </c>
      <c r="H597" s="257">
        <v>16</v>
      </c>
      <c r="I597" s="257">
        <v>61</v>
      </c>
      <c r="J597" s="258"/>
      <c r="K597" s="259">
        <v>12.8</v>
      </c>
      <c r="L597" s="259"/>
      <c r="M597" s="259">
        <v>6.2</v>
      </c>
      <c r="N597" s="259"/>
      <c r="O597" s="259"/>
      <c r="P597" s="259"/>
      <c r="Q597" s="290" t="s">
        <v>150</v>
      </c>
      <c r="R597" s="280"/>
      <c r="S597" s="263"/>
      <c r="T597" s="259"/>
      <c r="U597" s="259"/>
      <c r="V597" s="259"/>
      <c r="W597" s="259"/>
      <c r="X597" s="264">
        <v>11.4</v>
      </c>
      <c r="Y597" s="259"/>
      <c r="Z597" s="259">
        <v>7.18</v>
      </c>
      <c r="AA597" s="259"/>
      <c r="AB597" s="259"/>
      <c r="AC597" s="259"/>
      <c r="AD597" s="264"/>
      <c r="AE597" s="259"/>
      <c r="AF597" s="259"/>
      <c r="AG597" s="259"/>
      <c r="AH597" s="259"/>
      <c r="AI597" s="259"/>
      <c r="AJ597" s="265"/>
      <c r="AK597" s="266"/>
      <c r="AL597" s="266"/>
      <c r="AM597" s="266"/>
      <c r="AN597" s="266"/>
      <c r="AO597" s="267"/>
      <c r="AP597" s="266"/>
      <c r="AQ597" s="266"/>
      <c r="AR597" s="266"/>
      <c r="AS597" s="266"/>
      <c r="AT597" s="266"/>
      <c r="AU597" s="267"/>
      <c r="AV597" s="268"/>
      <c r="AW597" s="268"/>
      <c r="AX597" s="268"/>
      <c r="AY597" s="268"/>
      <c r="AZ597" s="268"/>
      <c r="BA597" s="268"/>
      <c r="BB597" s="268"/>
      <c r="BC597" s="268"/>
    </row>
    <row r="598" spans="1:55" s="277" customFormat="1" ht="18" customHeight="1" x14ac:dyDescent="0.35">
      <c r="A598" s="274">
        <f>MATCH(B598,STUDIES!$A$3:$A$502,0)</f>
        <v>46</v>
      </c>
      <c r="B598" s="256" t="s">
        <v>316</v>
      </c>
      <c r="C598" s="458"/>
      <c r="D598" s="278" t="s">
        <v>148</v>
      </c>
      <c r="E598" s="256" t="s">
        <v>151</v>
      </c>
      <c r="F598" s="155" t="str">
        <f>_xlfn.XLOOKUP(B598,STUDIES!$A$3:$A$1063,STUDIES!$G$3:$G$1063,"Not Found!")</f>
        <v>A</v>
      </c>
      <c r="G598" s="257" t="s">
        <v>147</v>
      </c>
      <c r="H598" s="257">
        <v>16</v>
      </c>
      <c r="I598" s="257">
        <v>61</v>
      </c>
      <c r="J598" s="258"/>
      <c r="K598" s="259">
        <v>32.9</v>
      </c>
      <c r="L598" s="259"/>
      <c r="M598" s="259">
        <v>13.8</v>
      </c>
      <c r="N598" s="259"/>
      <c r="O598" s="259"/>
      <c r="P598" s="259"/>
      <c r="Q598" s="290" t="s">
        <v>150</v>
      </c>
      <c r="R598" s="280"/>
      <c r="S598" s="263"/>
      <c r="T598" s="259"/>
      <c r="U598" s="259"/>
      <c r="V598" s="259"/>
      <c r="W598" s="259"/>
      <c r="X598" s="264">
        <v>25.6</v>
      </c>
      <c r="Y598" s="259"/>
      <c r="Z598" s="259">
        <v>18.3</v>
      </c>
      <c r="AA598" s="259"/>
      <c r="AB598" s="259"/>
      <c r="AC598" s="259"/>
      <c r="AD598" s="264"/>
      <c r="AE598" s="259"/>
      <c r="AF598" s="259"/>
      <c r="AG598" s="259"/>
      <c r="AH598" s="259"/>
      <c r="AI598" s="259"/>
      <c r="AJ598" s="265"/>
      <c r="AK598" s="266"/>
      <c r="AL598" s="266"/>
      <c r="AM598" s="266"/>
      <c r="AN598" s="266"/>
      <c r="AO598" s="267"/>
      <c r="AP598" s="266"/>
      <c r="AQ598" s="266"/>
      <c r="AR598" s="266"/>
      <c r="AS598" s="266"/>
      <c r="AT598" s="266"/>
      <c r="AU598" s="267"/>
      <c r="AV598" s="268"/>
      <c r="AW598" s="268"/>
      <c r="AX598" s="268"/>
      <c r="AY598" s="268"/>
      <c r="AZ598" s="268"/>
      <c r="BA598" s="268"/>
      <c r="BB598" s="268"/>
      <c r="BC598" s="268"/>
    </row>
    <row r="599" spans="1:55" s="277" customFormat="1" ht="18" customHeight="1" x14ac:dyDescent="0.35">
      <c r="A599" s="274">
        <f>MATCH(B599,STUDIES!$A$3:$A$502,0)</f>
        <v>46</v>
      </c>
      <c r="B599" s="256" t="s">
        <v>316</v>
      </c>
      <c r="C599" s="458"/>
      <c r="D599" s="278" t="s">
        <v>148</v>
      </c>
      <c r="E599" s="270" t="s">
        <v>183</v>
      </c>
      <c r="F599" s="155" t="str">
        <f>_xlfn.XLOOKUP(B599,STUDIES!$A$3:$A$1063,STUDIES!$G$3:$G$1063,"Not Found!")</f>
        <v>A</v>
      </c>
      <c r="G599" s="257" t="s">
        <v>147</v>
      </c>
      <c r="H599" s="257">
        <v>16</v>
      </c>
      <c r="I599" s="257">
        <v>61</v>
      </c>
      <c r="J599" s="258"/>
      <c r="K599" s="259">
        <v>6.34</v>
      </c>
      <c r="L599" s="259"/>
      <c r="M599" s="259">
        <v>1.83</v>
      </c>
      <c r="N599" s="259"/>
      <c r="O599" s="259"/>
      <c r="P599" s="259"/>
      <c r="Q599" s="290" t="s">
        <v>150</v>
      </c>
      <c r="R599" s="280"/>
      <c r="S599" s="263"/>
      <c r="T599" s="259"/>
      <c r="U599" s="259"/>
      <c r="V599" s="259"/>
      <c r="W599" s="259"/>
      <c r="X599" s="264">
        <v>6.05</v>
      </c>
      <c r="Y599" s="259"/>
      <c r="Z599" s="259">
        <v>2.31</v>
      </c>
      <c r="AA599" s="259"/>
      <c r="AB599" s="259"/>
      <c r="AC599" s="259"/>
      <c r="AD599" s="264"/>
      <c r="AE599" s="259"/>
      <c r="AF599" s="259"/>
      <c r="AG599" s="259"/>
      <c r="AH599" s="259"/>
      <c r="AI599" s="259"/>
      <c r="AJ599" s="265"/>
      <c r="AK599" s="266"/>
      <c r="AL599" s="266"/>
      <c r="AM599" s="266"/>
      <c r="AN599" s="266"/>
      <c r="AO599" s="267"/>
      <c r="AP599" s="266"/>
      <c r="AQ599" s="266"/>
      <c r="AR599" s="266"/>
      <c r="AS599" s="266"/>
      <c r="AT599" s="266"/>
      <c r="AU599" s="267"/>
      <c r="AV599" s="268"/>
      <c r="AW599" s="268"/>
      <c r="AX599" s="268"/>
      <c r="AY599" s="268"/>
      <c r="AZ599" s="268"/>
      <c r="BA599" s="268"/>
      <c r="BB599" s="268"/>
      <c r="BC599" s="268"/>
    </row>
    <row r="600" spans="1:55" s="277" customFormat="1" ht="18" customHeight="1" x14ac:dyDescent="0.35">
      <c r="A600" s="274">
        <f>MATCH(B600,STUDIES!$A$3:$A$502,0)</f>
        <v>46</v>
      </c>
      <c r="B600" s="270" t="s">
        <v>316</v>
      </c>
      <c r="C600" s="459"/>
      <c r="D600" s="278" t="s">
        <v>148</v>
      </c>
      <c r="E600" s="270" t="s">
        <v>153</v>
      </c>
      <c r="F600" s="155" t="str">
        <f>_xlfn.XLOOKUP(B600,STUDIES!$A$3:$A$1063,STUDIES!$G$3:$G$1063,"Not Found!")</f>
        <v>A</v>
      </c>
      <c r="G600" s="257" t="s">
        <v>147</v>
      </c>
      <c r="H600" s="257">
        <v>16</v>
      </c>
      <c r="I600" s="257">
        <v>61</v>
      </c>
      <c r="J600" s="258"/>
      <c r="K600" s="259"/>
      <c r="L600" s="259"/>
      <c r="M600" s="259"/>
      <c r="N600" s="259"/>
      <c r="O600" s="259"/>
      <c r="P600" s="259"/>
      <c r="Q600" s="279" t="s">
        <v>90</v>
      </c>
      <c r="R600" s="289">
        <v>-1.1000000000000001</v>
      </c>
      <c r="S600" s="259">
        <v>0.9</v>
      </c>
      <c r="T600" s="259"/>
      <c r="U600" s="259"/>
      <c r="V600" s="259"/>
      <c r="W600" s="259"/>
      <c r="X600" s="264"/>
      <c r="Y600" s="259"/>
      <c r="Z600" s="259"/>
      <c r="AA600" s="259"/>
      <c r="AB600" s="259"/>
      <c r="AC600" s="259"/>
      <c r="AD600" s="264"/>
      <c r="AE600" s="259"/>
      <c r="AF600" s="259"/>
      <c r="AG600" s="259"/>
      <c r="AH600" s="259"/>
      <c r="AI600" s="259"/>
      <c r="AJ600" s="265"/>
      <c r="AK600" s="266"/>
      <c r="AL600" s="266"/>
      <c r="AM600" s="266"/>
      <c r="AN600" s="266"/>
      <c r="AO600" s="267"/>
      <c r="AP600" s="266"/>
      <c r="AQ600" s="266"/>
      <c r="AR600" s="266"/>
      <c r="AS600" s="266"/>
      <c r="AT600" s="266"/>
      <c r="AU600" s="267"/>
      <c r="AV600" s="268"/>
      <c r="AW600" s="268"/>
      <c r="AX600" s="268"/>
      <c r="AY600" s="268"/>
      <c r="AZ600" s="268"/>
      <c r="BA600" s="268"/>
      <c r="BB600" s="268"/>
      <c r="BC600" s="268"/>
    </row>
    <row r="601" spans="1:55" s="277" customFormat="1" ht="18" customHeight="1" x14ac:dyDescent="0.35">
      <c r="A601" s="274">
        <f>MATCH(B601,STUDIES!$A$3:$A$502,0)</f>
        <v>46</v>
      </c>
      <c r="B601" s="272" t="s">
        <v>316</v>
      </c>
      <c r="C601" s="435"/>
      <c r="D601" s="269" t="s">
        <v>1059</v>
      </c>
      <c r="E601" s="272" t="s">
        <v>1163</v>
      </c>
      <c r="F601" s="155" t="str">
        <f>_xlfn.XLOOKUP(B601,STUDIES!$A$3:$A$1063,STUDIES!$G$3:$G$1063,"Not Found!")</f>
        <v>A</v>
      </c>
      <c r="G601" s="273" t="s">
        <v>147</v>
      </c>
      <c r="H601" s="273">
        <v>16</v>
      </c>
      <c r="I601" s="273">
        <v>63</v>
      </c>
      <c r="J601" s="274">
        <v>1</v>
      </c>
      <c r="K601" s="268"/>
      <c r="L601" s="268"/>
      <c r="M601" s="268"/>
      <c r="N601" s="268"/>
      <c r="O601" s="268"/>
      <c r="P601" s="268"/>
      <c r="Q601" s="282"/>
      <c r="R601" s="283"/>
      <c r="S601" s="268"/>
      <c r="T601" s="268"/>
      <c r="U601" s="268"/>
      <c r="V601" s="268"/>
      <c r="W601" s="268"/>
      <c r="X601" s="276"/>
      <c r="Y601" s="268"/>
      <c r="Z601" s="268"/>
      <c r="AA601" s="268"/>
      <c r="AB601" s="268"/>
      <c r="AC601" s="268"/>
      <c r="AD601" s="276"/>
      <c r="AE601" s="268"/>
      <c r="AF601" s="268"/>
      <c r="AG601" s="268"/>
      <c r="AH601" s="268"/>
      <c r="AI601" s="268"/>
      <c r="AJ601" s="276"/>
      <c r="AK601" s="268"/>
      <c r="AL601" s="268"/>
      <c r="AM601" s="268"/>
      <c r="AN601" s="268"/>
      <c r="AO601" s="275"/>
      <c r="AP601" s="268"/>
      <c r="AQ601" s="268"/>
      <c r="AR601" s="268"/>
      <c r="AS601" s="268"/>
      <c r="AT601" s="268"/>
      <c r="AU601" s="275"/>
      <c r="AV601" s="268"/>
      <c r="AW601" s="268"/>
      <c r="AX601" s="268"/>
      <c r="AY601" s="268"/>
      <c r="AZ601" s="268"/>
      <c r="BA601" s="268"/>
      <c r="BB601" s="268"/>
      <c r="BC601" s="268"/>
    </row>
    <row r="602" spans="1:55" s="277" customFormat="1" ht="18" customHeight="1" x14ac:dyDescent="0.35">
      <c r="A602" s="274">
        <f>MATCH(B602,STUDIES!$A$3:$A$502,0)</f>
        <v>46</v>
      </c>
      <c r="B602" s="272" t="s">
        <v>316</v>
      </c>
      <c r="C602" s="435"/>
      <c r="D602" s="278" t="s">
        <v>1056</v>
      </c>
      <c r="E602" s="272" t="s">
        <v>1163</v>
      </c>
      <c r="F602" s="155" t="str">
        <f>_xlfn.XLOOKUP(B602,STUDIES!$A$3:$A$1063,STUDIES!$G$3:$G$1063,"Not Found!")</f>
        <v>A</v>
      </c>
      <c r="G602" s="273" t="s">
        <v>147</v>
      </c>
      <c r="H602" s="273">
        <v>16</v>
      </c>
      <c r="I602" s="273">
        <v>64</v>
      </c>
      <c r="J602" s="274">
        <v>2</v>
      </c>
      <c r="K602" s="268"/>
      <c r="L602" s="268"/>
      <c r="M602" s="268"/>
      <c r="N602" s="268"/>
      <c r="O602" s="268"/>
      <c r="P602" s="268"/>
      <c r="Q602" s="282"/>
      <c r="R602" s="283"/>
      <c r="S602" s="268"/>
      <c r="T602" s="268"/>
      <c r="U602" s="268"/>
      <c r="V602" s="268"/>
      <c r="W602" s="268"/>
      <c r="X602" s="276"/>
      <c r="Y602" s="268"/>
      <c r="Z602" s="268"/>
      <c r="AA602" s="268"/>
      <c r="AB602" s="268"/>
      <c r="AC602" s="268"/>
      <c r="AD602" s="276"/>
      <c r="AE602" s="268"/>
      <c r="AF602" s="268"/>
      <c r="AG602" s="268"/>
      <c r="AH602" s="268"/>
      <c r="AI602" s="268"/>
      <c r="AJ602" s="276"/>
      <c r="AK602" s="268"/>
      <c r="AL602" s="268"/>
      <c r="AM602" s="268"/>
      <c r="AN602" s="268"/>
      <c r="AO602" s="275"/>
      <c r="AP602" s="268"/>
      <c r="AQ602" s="268"/>
      <c r="AR602" s="268"/>
      <c r="AS602" s="268"/>
      <c r="AT602" s="268"/>
      <c r="AU602" s="275"/>
      <c r="AV602" s="268"/>
      <c r="AW602" s="268"/>
      <c r="AX602" s="268"/>
      <c r="AY602" s="268"/>
      <c r="AZ602" s="268"/>
      <c r="BA602" s="268"/>
      <c r="BB602" s="268"/>
      <c r="BC602" s="268"/>
    </row>
    <row r="603" spans="1:55" s="277" customFormat="1" ht="18" customHeight="1" x14ac:dyDescent="0.35">
      <c r="A603" s="274">
        <f>MATCH(B603,STUDIES!$A$3:$A$502,0)</f>
        <v>46</v>
      </c>
      <c r="B603" s="272" t="s">
        <v>316</v>
      </c>
      <c r="C603" s="435"/>
      <c r="D603" s="281" t="s">
        <v>148</v>
      </c>
      <c r="E603" s="272" t="s">
        <v>1163</v>
      </c>
      <c r="F603" s="155" t="str">
        <f>_xlfn.XLOOKUP(B603,STUDIES!$A$3:$A$1063,STUDIES!$G$3:$G$1063,"Not Found!")</f>
        <v>A</v>
      </c>
      <c r="G603" s="273" t="s">
        <v>147</v>
      </c>
      <c r="H603" s="273">
        <v>16</v>
      </c>
      <c r="I603" s="273">
        <v>61</v>
      </c>
      <c r="J603" s="274">
        <v>4</v>
      </c>
      <c r="K603" s="268"/>
      <c r="L603" s="268"/>
      <c r="M603" s="268"/>
      <c r="N603" s="268"/>
      <c r="O603" s="268"/>
      <c r="P603" s="268"/>
      <c r="Q603" s="282"/>
      <c r="R603" s="283"/>
      <c r="S603" s="268"/>
      <c r="T603" s="268"/>
      <c r="U603" s="268"/>
      <c r="V603" s="268"/>
      <c r="W603" s="268"/>
      <c r="X603" s="276"/>
      <c r="Y603" s="268"/>
      <c r="Z603" s="268"/>
      <c r="AA603" s="268"/>
      <c r="AB603" s="268"/>
      <c r="AC603" s="268"/>
      <c r="AD603" s="276"/>
      <c r="AE603" s="268"/>
      <c r="AF603" s="268"/>
      <c r="AG603" s="268"/>
      <c r="AH603" s="268"/>
      <c r="AI603" s="268"/>
      <c r="AJ603" s="276"/>
      <c r="AK603" s="268"/>
      <c r="AL603" s="268"/>
      <c r="AM603" s="268"/>
      <c r="AN603" s="268"/>
      <c r="AO603" s="275"/>
      <c r="AP603" s="268"/>
      <c r="AQ603" s="268"/>
      <c r="AR603" s="268"/>
      <c r="AS603" s="268"/>
      <c r="AT603" s="268"/>
      <c r="AU603" s="275"/>
      <c r="AV603" s="268"/>
      <c r="AW603" s="268"/>
      <c r="AX603" s="268"/>
      <c r="AY603" s="268"/>
      <c r="AZ603" s="268"/>
      <c r="BA603" s="268"/>
      <c r="BB603" s="268"/>
      <c r="BC603" s="268"/>
    </row>
    <row r="604" spans="1:55" s="277" customFormat="1" ht="18" customHeight="1" x14ac:dyDescent="0.35">
      <c r="A604" s="274">
        <f>MATCH(B604,STUDIES!$A$3:$A$502,0)</f>
        <v>46</v>
      </c>
      <c r="B604" s="272" t="s">
        <v>316</v>
      </c>
      <c r="C604" s="435"/>
      <c r="D604" s="281" t="s">
        <v>1059</v>
      </c>
      <c r="E604" s="272" t="s">
        <v>1167</v>
      </c>
      <c r="F604" s="155" t="str">
        <f>_xlfn.XLOOKUP(B604,STUDIES!$A$3:$A$1063,STUDIES!$G$3:$G$1063,"Not Found!")</f>
        <v>A</v>
      </c>
      <c r="G604" s="273" t="s">
        <v>147</v>
      </c>
      <c r="H604" s="273">
        <v>16</v>
      </c>
      <c r="I604" s="273">
        <v>63</v>
      </c>
      <c r="J604" s="274">
        <v>1</v>
      </c>
      <c r="K604" s="268"/>
      <c r="L604" s="268"/>
      <c r="M604" s="268"/>
      <c r="N604" s="268"/>
      <c r="O604" s="268"/>
      <c r="P604" s="268"/>
      <c r="Q604" s="282"/>
      <c r="R604" s="283"/>
      <c r="S604" s="268"/>
      <c r="T604" s="268"/>
      <c r="U604" s="268"/>
      <c r="V604" s="268"/>
      <c r="W604" s="268"/>
      <c r="X604" s="276"/>
      <c r="Y604" s="268"/>
      <c r="Z604" s="268"/>
      <c r="AA604" s="268"/>
      <c r="AB604" s="268"/>
      <c r="AC604" s="268"/>
      <c r="AD604" s="276"/>
      <c r="AE604" s="268"/>
      <c r="AF604" s="268"/>
      <c r="AG604" s="268"/>
      <c r="AH604" s="268"/>
      <c r="AI604" s="268"/>
      <c r="AJ604" s="276"/>
      <c r="AK604" s="268"/>
      <c r="AL604" s="268"/>
      <c r="AM604" s="268"/>
      <c r="AN604" s="268"/>
      <c r="AO604" s="275"/>
      <c r="AP604" s="268"/>
      <c r="AQ604" s="268"/>
      <c r="AR604" s="268"/>
      <c r="AS604" s="268"/>
      <c r="AT604" s="268"/>
      <c r="AU604" s="275"/>
      <c r="AV604" s="268"/>
      <c r="AW604" s="268"/>
      <c r="AX604" s="268"/>
      <c r="AY604" s="268"/>
      <c r="AZ604" s="268"/>
      <c r="BA604" s="268"/>
      <c r="BB604" s="268"/>
      <c r="BC604" s="268"/>
    </row>
    <row r="605" spans="1:55" s="277" customFormat="1" ht="18" customHeight="1" x14ac:dyDescent="0.35">
      <c r="A605" s="274">
        <f>MATCH(B605,STUDIES!$A$3:$A$502,0)</f>
        <v>46</v>
      </c>
      <c r="B605" s="272" t="s">
        <v>316</v>
      </c>
      <c r="C605" s="435"/>
      <c r="D605" s="281" t="s">
        <v>1056</v>
      </c>
      <c r="E605" s="272" t="s">
        <v>1167</v>
      </c>
      <c r="F605" s="155" t="str">
        <f>_xlfn.XLOOKUP(B605,STUDIES!$A$3:$A$1063,STUDIES!$G$3:$G$1063,"Not Found!")</f>
        <v>A</v>
      </c>
      <c r="G605" s="273" t="s">
        <v>147</v>
      </c>
      <c r="H605" s="273">
        <v>16</v>
      </c>
      <c r="I605" s="273">
        <v>64</v>
      </c>
      <c r="J605" s="274">
        <v>4</v>
      </c>
      <c r="K605" s="268"/>
      <c r="L605" s="268"/>
      <c r="M605" s="268"/>
      <c r="N605" s="268"/>
      <c r="O605" s="268"/>
      <c r="P605" s="268"/>
      <c r="Q605" s="282"/>
      <c r="R605" s="283"/>
      <c r="S605" s="268"/>
      <c r="T605" s="268"/>
      <c r="U605" s="268"/>
      <c r="V605" s="268"/>
      <c r="W605" s="268"/>
      <c r="X605" s="276"/>
      <c r="Y605" s="268"/>
      <c r="Z605" s="268"/>
      <c r="AA605" s="268"/>
      <c r="AB605" s="268"/>
      <c r="AC605" s="268"/>
      <c r="AD605" s="276"/>
      <c r="AE605" s="268"/>
      <c r="AF605" s="268"/>
      <c r="AG605" s="268"/>
      <c r="AH605" s="268"/>
      <c r="AI605" s="268"/>
      <c r="AJ605" s="276"/>
      <c r="AK605" s="268"/>
      <c r="AL605" s="268"/>
      <c r="AM605" s="268"/>
      <c r="AN605" s="268"/>
      <c r="AO605" s="275"/>
      <c r="AP605" s="268"/>
      <c r="AQ605" s="268"/>
      <c r="AR605" s="268"/>
      <c r="AS605" s="268"/>
      <c r="AT605" s="268"/>
      <c r="AU605" s="275"/>
      <c r="AV605" s="268"/>
      <c r="AW605" s="268"/>
      <c r="AX605" s="268"/>
      <c r="AY605" s="268"/>
      <c r="AZ605" s="268"/>
      <c r="BA605" s="268"/>
      <c r="BB605" s="268"/>
      <c r="BC605" s="268"/>
    </row>
    <row r="606" spans="1:55" s="277" customFormat="1" ht="18" customHeight="1" x14ac:dyDescent="0.35">
      <c r="A606" s="274">
        <f>MATCH(B606,STUDIES!$A$3:$A$502,0)</f>
        <v>46</v>
      </c>
      <c r="B606" s="272" t="s">
        <v>316</v>
      </c>
      <c r="C606" s="435"/>
      <c r="D606" s="281" t="s">
        <v>148</v>
      </c>
      <c r="E606" s="272" t="s">
        <v>1167</v>
      </c>
      <c r="F606" s="155" t="str">
        <f>_xlfn.XLOOKUP(B606,STUDIES!$A$3:$A$1063,STUDIES!$G$3:$G$1063,"Not Found!")</f>
        <v>A</v>
      </c>
      <c r="G606" s="273" t="s">
        <v>147</v>
      </c>
      <c r="H606" s="273">
        <v>16</v>
      </c>
      <c r="I606" s="273">
        <v>61</v>
      </c>
      <c r="J606" s="274">
        <v>3</v>
      </c>
      <c r="K606" s="268"/>
      <c r="L606" s="268"/>
      <c r="M606" s="268"/>
      <c r="N606" s="268"/>
      <c r="O606" s="268"/>
      <c r="P606" s="268"/>
      <c r="Q606" s="282"/>
      <c r="R606" s="283"/>
      <c r="S606" s="268"/>
      <c r="T606" s="268"/>
      <c r="U606" s="268"/>
      <c r="V606" s="268"/>
      <c r="W606" s="268"/>
      <c r="X606" s="276"/>
      <c r="Y606" s="268"/>
      <c r="Z606" s="268"/>
      <c r="AA606" s="268"/>
      <c r="AB606" s="268"/>
      <c r="AC606" s="268"/>
      <c r="AD606" s="276"/>
      <c r="AE606" s="268"/>
      <c r="AF606" s="268"/>
      <c r="AG606" s="268"/>
      <c r="AH606" s="268"/>
      <c r="AI606" s="268"/>
      <c r="AJ606" s="276"/>
      <c r="AK606" s="268"/>
      <c r="AL606" s="268"/>
      <c r="AM606" s="268"/>
      <c r="AN606" s="268"/>
      <c r="AO606" s="275"/>
      <c r="AP606" s="268"/>
      <c r="AQ606" s="268"/>
      <c r="AR606" s="268"/>
      <c r="AS606" s="268"/>
      <c r="AT606" s="268"/>
      <c r="AU606" s="275"/>
      <c r="AV606" s="268"/>
      <c r="AW606" s="268"/>
      <c r="AX606" s="268"/>
      <c r="AY606" s="268"/>
      <c r="AZ606" s="268"/>
      <c r="BA606" s="268"/>
      <c r="BB606" s="268"/>
      <c r="BC606" s="268"/>
    </row>
    <row r="607" spans="1:55" s="277" customFormat="1" ht="18" customHeight="1" x14ac:dyDescent="0.35">
      <c r="A607" s="274">
        <f>MATCH(B607,STUDIES!$A$3:$A$502,0)</f>
        <v>47</v>
      </c>
      <c r="B607" s="270" t="s">
        <v>360</v>
      </c>
      <c r="C607" s="459"/>
      <c r="D607" s="281" t="s">
        <v>148</v>
      </c>
      <c r="E607" s="256" t="s">
        <v>151</v>
      </c>
      <c r="F607" s="155" t="str">
        <f>_xlfn.XLOOKUP(B607,STUDIES!$A$3:$A$1063,STUDIES!$G$3:$G$1063,"Not Found!")</f>
        <v>A</v>
      </c>
      <c r="G607" s="257" t="s">
        <v>147</v>
      </c>
      <c r="H607" s="257">
        <v>8</v>
      </c>
      <c r="I607" s="257">
        <v>33</v>
      </c>
      <c r="J607" s="258"/>
      <c r="K607" s="259"/>
      <c r="L607" s="259"/>
      <c r="M607" s="259"/>
      <c r="N607" s="259"/>
      <c r="O607" s="259"/>
      <c r="P607" s="259"/>
      <c r="Q607" s="279" t="s">
        <v>90</v>
      </c>
      <c r="R607" s="289">
        <v>-5.38</v>
      </c>
      <c r="S607" s="259"/>
      <c r="T607" s="259">
        <v>9.9220000000000006</v>
      </c>
      <c r="U607" s="259"/>
      <c r="V607" s="259"/>
      <c r="W607" s="259"/>
      <c r="X607" s="264"/>
      <c r="Y607" s="259"/>
      <c r="Z607" s="259"/>
      <c r="AA607" s="259"/>
      <c r="AB607" s="259"/>
      <c r="AC607" s="259"/>
      <c r="AD607" s="264"/>
      <c r="AE607" s="259"/>
      <c r="AF607" s="259"/>
      <c r="AG607" s="259"/>
      <c r="AH607" s="259"/>
      <c r="AI607" s="259"/>
      <c r="AJ607" s="265"/>
      <c r="AK607" s="266"/>
      <c r="AL607" s="266"/>
      <c r="AM607" s="266"/>
      <c r="AN607" s="266"/>
      <c r="AO607" s="267"/>
      <c r="AP607" s="266"/>
      <c r="AQ607" s="266"/>
      <c r="AR607" s="266"/>
      <c r="AS607" s="266"/>
      <c r="AT607" s="266"/>
      <c r="AU607" s="267"/>
      <c r="AV607" s="268"/>
      <c r="AW607" s="268"/>
      <c r="AX607" s="268"/>
      <c r="AY607" s="268"/>
      <c r="AZ607" s="268"/>
      <c r="BA607" s="268"/>
      <c r="BB607" s="268"/>
      <c r="BC607" s="268"/>
    </row>
    <row r="608" spans="1:55" s="277" customFormat="1" ht="18" customHeight="1" x14ac:dyDescent="0.35">
      <c r="A608" s="274">
        <f>MATCH(B608,STUDIES!$A$3:$A$502,0)</f>
        <v>47</v>
      </c>
      <c r="B608" s="270" t="s">
        <v>360</v>
      </c>
      <c r="C608" s="459"/>
      <c r="D608" s="278" t="s">
        <v>148</v>
      </c>
      <c r="E608" s="256" t="s">
        <v>291</v>
      </c>
      <c r="F608" s="155" t="str">
        <f>_xlfn.XLOOKUP(B608,STUDIES!$A$3:$A$1063,STUDIES!$G$3:$G$1063,"Not Found!")</f>
        <v>A</v>
      </c>
      <c r="G608" s="257" t="s">
        <v>147</v>
      </c>
      <c r="H608" s="257">
        <v>8</v>
      </c>
      <c r="I608" s="257">
        <v>33</v>
      </c>
      <c r="J608" s="258"/>
      <c r="K608" s="259"/>
      <c r="L608" s="259"/>
      <c r="M608" s="259"/>
      <c r="N608" s="259"/>
      <c r="O608" s="259"/>
      <c r="P608" s="259"/>
      <c r="Q608" s="279" t="s">
        <v>90</v>
      </c>
      <c r="R608" s="289">
        <v>-2.66</v>
      </c>
      <c r="S608" s="259"/>
      <c r="T608" s="259">
        <v>2.0569999999999999</v>
      </c>
      <c r="U608" s="259"/>
      <c r="V608" s="259"/>
      <c r="W608" s="259"/>
      <c r="X608" s="264"/>
      <c r="Y608" s="259"/>
      <c r="Z608" s="259"/>
      <c r="AA608" s="259"/>
      <c r="AB608" s="259"/>
      <c r="AC608" s="259"/>
      <c r="AD608" s="264"/>
      <c r="AE608" s="259"/>
      <c r="AF608" s="259"/>
      <c r="AG608" s="259"/>
      <c r="AH608" s="259"/>
      <c r="AI608" s="259"/>
      <c r="AJ608" s="265"/>
      <c r="AK608" s="266"/>
      <c r="AL608" s="266"/>
      <c r="AM608" s="266"/>
      <c r="AN608" s="266"/>
      <c r="AO608" s="267"/>
      <c r="AP608" s="266"/>
      <c r="AQ608" s="266"/>
      <c r="AR608" s="266"/>
      <c r="AS608" s="266"/>
      <c r="AT608" s="266"/>
      <c r="AU608" s="267"/>
      <c r="AV608" s="268"/>
      <c r="AW608" s="268"/>
      <c r="AX608" s="268"/>
      <c r="AY608" s="268"/>
      <c r="AZ608" s="268"/>
      <c r="BA608" s="268"/>
      <c r="BB608" s="268"/>
      <c r="BC608" s="268"/>
    </row>
    <row r="609" spans="1:55" s="277" customFormat="1" ht="18" customHeight="1" x14ac:dyDescent="0.35">
      <c r="A609" s="274">
        <f>MATCH(B609,STUDIES!$A$3:$A$502,0)</f>
        <v>47</v>
      </c>
      <c r="B609" s="270" t="s">
        <v>360</v>
      </c>
      <c r="C609" s="459"/>
      <c r="D609" s="278" t="s">
        <v>148</v>
      </c>
      <c r="E609" s="256" t="s">
        <v>297</v>
      </c>
      <c r="F609" s="155" t="str">
        <f>_xlfn.XLOOKUP(B609,STUDIES!$A$3:$A$1063,STUDIES!$G$3:$G$1063,"Not Found!")</f>
        <v>A</v>
      </c>
      <c r="G609" s="257" t="s">
        <v>147</v>
      </c>
      <c r="H609" s="257">
        <v>8</v>
      </c>
      <c r="I609" s="257">
        <v>33</v>
      </c>
      <c r="J609" s="258"/>
      <c r="K609" s="260"/>
      <c r="L609" s="260"/>
      <c r="M609" s="260"/>
      <c r="N609" s="260"/>
      <c r="O609" s="260"/>
      <c r="P609" s="260"/>
      <c r="Q609" s="279" t="s">
        <v>90</v>
      </c>
      <c r="R609" s="301">
        <v>-2.57416</v>
      </c>
      <c r="S609" s="288">
        <v>0.43528999999999995</v>
      </c>
      <c r="T609" s="259"/>
      <c r="U609" s="259"/>
      <c r="V609" s="259"/>
      <c r="W609" s="259"/>
      <c r="X609" s="264"/>
      <c r="Y609" s="259"/>
      <c r="Z609" s="259"/>
      <c r="AA609" s="259"/>
      <c r="AB609" s="259"/>
      <c r="AC609" s="259"/>
      <c r="AD609" s="264"/>
      <c r="AE609" s="259"/>
      <c r="AF609" s="259"/>
      <c r="AG609" s="259"/>
      <c r="AH609" s="259"/>
      <c r="AI609" s="259"/>
      <c r="AJ609" s="265"/>
      <c r="AK609" s="266"/>
      <c r="AL609" s="266"/>
      <c r="AM609" s="266"/>
      <c r="AN609" s="266"/>
      <c r="AO609" s="267"/>
      <c r="AP609" s="266"/>
      <c r="AQ609" s="266"/>
      <c r="AR609" s="266"/>
      <c r="AS609" s="266"/>
      <c r="AT609" s="266"/>
      <c r="AU609" s="267"/>
      <c r="AV609" s="268"/>
      <c r="AW609" s="268"/>
      <c r="AX609" s="268"/>
      <c r="AY609" s="268"/>
      <c r="AZ609" s="268"/>
      <c r="BA609" s="268"/>
      <c r="BB609" s="268"/>
      <c r="BC609" s="268"/>
    </row>
    <row r="610" spans="1:55" s="277" customFormat="1" ht="18" customHeight="1" x14ac:dyDescent="0.35">
      <c r="A610" s="274">
        <f>MATCH(B610,STUDIES!$A$3:$A$502,0)</f>
        <v>47</v>
      </c>
      <c r="B610" s="270" t="s">
        <v>360</v>
      </c>
      <c r="C610" s="459"/>
      <c r="D610" s="278" t="s">
        <v>1105</v>
      </c>
      <c r="E610" s="256" t="s">
        <v>151</v>
      </c>
      <c r="F610" s="155" t="str">
        <f>_xlfn.XLOOKUP(B610,STUDIES!$A$3:$A$1063,STUDIES!$G$3:$G$1063,"Not Found!")</f>
        <v>A</v>
      </c>
      <c r="G610" s="257" t="s">
        <v>147</v>
      </c>
      <c r="H610" s="257">
        <v>8</v>
      </c>
      <c r="I610" s="257">
        <v>65</v>
      </c>
      <c r="J610" s="258"/>
      <c r="K610" s="259"/>
      <c r="L610" s="259"/>
      <c r="M610" s="259"/>
      <c r="N610" s="259"/>
      <c r="O610" s="259"/>
      <c r="P610" s="259"/>
      <c r="Q610" s="279" t="s">
        <v>90</v>
      </c>
      <c r="R610" s="289">
        <v>-10.72</v>
      </c>
      <c r="S610" s="259"/>
      <c r="T610" s="259">
        <v>9.6790000000000003</v>
      </c>
      <c r="U610" s="259"/>
      <c r="V610" s="259"/>
      <c r="W610" s="259"/>
      <c r="X610" s="264"/>
      <c r="Y610" s="259"/>
      <c r="Z610" s="259"/>
      <c r="AA610" s="259"/>
      <c r="AB610" s="259"/>
      <c r="AC610" s="259"/>
      <c r="AD610" s="264"/>
      <c r="AE610" s="259"/>
      <c r="AF610" s="259"/>
      <c r="AG610" s="259"/>
      <c r="AH610" s="259"/>
      <c r="AI610" s="259"/>
      <c r="AJ610" s="265"/>
      <c r="AK610" s="266"/>
      <c r="AL610" s="266"/>
      <c r="AM610" s="266"/>
      <c r="AN610" s="266"/>
      <c r="AO610" s="267"/>
      <c r="AP610" s="266"/>
      <c r="AQ610" s="266"/>
      <c r="AR610" s="266"/>
      <c r="AS610" s="266"/>
      <c r="AT610" s="266"/>
      <c r="AU610" s="267"/>
      <c r="AV610" s="268"/>
      <c r="AW610" s="268"/>
      <c r="AX610" s="268"/>
      <c r="AY610" s="268"/>
      <c r="AZ610" s="268"/>
      <c r="BA610" s="268"/>
      <c r="BB610" s="268"/>
      <c r="BC610" s="268"/>
    </row>
    <row r="611" spans="1:55" s="277" customFormat="1" ht="18" customHeight="1" x14ac:dyDescent="0.35">
      <c r="A611" s="274">
        <f>MATCH(B611,STUDIES!$A$3:$A$502,0)</f>
        <v>47</v>
      </c>
      <c r="B611" s="270" t="s">
        <v>360</v>
      </c>
      <c r="C611" s="459"/>
      <c r="D611" s="278" t="s">
        <v>1105</v>
      </c>
      <c r="E611" s="256" t="s">
        <v>291</v>
      </c>
      <c r="F611" s="155" t="str">
        <f>_xlfn.XLOOKUP(B611,STUDIES!$A$3:$A$1063,STUDIES!$G$3:$G$1063,"Not Found!")</f>
        <v>A</v>
      </c>
      <c r="G611" s="257" t="s">
        <v>147</v>
      </c>
      <c r="H611" s="257">
        <v>8</v>
      </c>
      <c r="I611" s="257">
        <v>65</v>
      </c>
      <c r="J611" s="258"/>
      <c r="K611" s="259"/>
      <c r="L611" s="259"/>
      <c r="M611" s="259"/>
      <c r="N611" s="259"/>
      <c r="O611" s="259"/>
      <c r="P611" s="259"/>
      <c r="Q611" s="279" t="s">
        <v>90</v>
      </c>
      <c r="R611" s="289">
        <v>-3.03</v>
      </c>
      <c r="S611" s="259"/>
      <c r="T611" s="259">
        <v>2.1859999999999999</v>
      </c>
      <c r="U611" s="259"/>
      <c r="V611" s="259"/>
      <c r="W611" s="259"/>
      <c r="X611" s="264"/>
      <c r="Y611" s="259"/>
      <c r="Z611" s="259"/>
      <c r="AA611" s="259"/>
      <c r="AB611" s="259"/>
      <c r="AC611" s="259"/>
      <c r="AD611" s="264"/>
      <c r="AE611" s="259"/>
      <c r="AF611" s="259"/>
      <c r="AG611" s="259"/>
      <c r="AH611" s="259"/>
      <c r="AI611" s="259"/>
      <c r="AJ611" s="265"/>
      <c r="AK611" s="266"/>
      <c r="AL611" s="266"/>
      <c r="AM611" s="266"/>
      <c r="AN611" s="266"/>
      <c r="AO611" s="267"/>
      <c r="AP611" s="266"/>
      <c r="AQ611" s="266"/>
      <c r="AR611" s="266"/>
      <c r="AS611" s="266"/>
      <c r="AT611" s="266"/>
      <c r="AU611" s="267"/>
      <c r="AV611" s="268"/>
      <c r="AW611" s="268"/>
      <c r="AX611" s="268"/>
      <c r="AY611" s="268"/>
      <c r="AZ611" s="268"/>
      <c r="BA611" s="268"/>
      <c r="BB611" s="268"/>
      <c r="BC611" s="268"/>
    </row>
    <row r="612" spans="1:55" s="277" customFormat="1" ht="18" customHeight="1" x14ac:dyDescent="0.35">
      <c r="A612" s="274">
        <f>MATCH(B612,STUDIES!$A$3:$A$502,0)</f>
        <v>47</v>
      </c>
      <c r="B612" s="270" t="s">
        <v>360</v>
      </c>
      <c r="C612" s="459"/>
      <c r="D612" s="278" t="s">
        <v>1105</v>
      </c>
      <c r="E612" s="256" t="s">
        <v>297</v>
      </c>
      <c r="F612" s="155" t="str">
        <f>_xlfn.XLOOKUP(B612,STUDIES!$A$3:$A$1063,STUDIES!$G$3:$G$1063,"Not Found!")</f>
        <v>A</v>
      </c>
      <c r="G612" s="257" t="s">
        <v>147</v>
      </c>
      <c r="H612" s="257">
        <v>8</v>
      </c>
      <c r="I612" s="286">
        <v>65</v>
      </c>
      <c r="J612" s="258"/>
      <c r="K612" s="260"/>
      <c r="L612" s="260"/>
      <c r="M612" s="260"/>
      <c r="N612" s="260"/>
      <c r="O612" s="260"/>
      <c r="P612" s="260"/>
      <c r="Q612" s="279" t="s">
        <v>90</v>
      </c>
      <c r="R612" s="301">
        <v>-3.0757300000000001</v>
      </c>
      <c r="S612" s="288">
        <v>0.30789999999999984</v>
      </c>
      <c r="T612" s="259"/>
      <c r="U612" s="259"/>
      <c r="V612" s="259"/>
      <c r="W612" s="259"/>
      <c r="X612" s="264"/>
      <c r="Y612" s="259"/>
      <c r="Z612" s="259"/>
      <c r="AA612" s="259"/>
      <c r="AB612" s="259"/>
      <c r="AC612" s="259"/>
      <c r="AD612" s="264"/>
      <c r="AE612" s="259"/>
      <c r="AF612" s="259"/>
      <c r="AG612" s="259"/>
      <c r="AH612" s="259"/>
      <c r="AI612" s="259"/>
      <c r="AJ612" s="265"/>
      <c r="AK612" s="266"/>
      <c r="AL612" s="266"/>
      <c r="AM612" s="266"/>
      <c r="AN612" s="266"/>
      <c r="AO612" s="267"/>
      <c r="AP612" s="266"/>
      <c r="AQ612" s="266"/>
      <c r="AR612" s="266"/>
      <c r="AS612" s="266"/>
      <c r="AT612" s="266"/>
      <c r="AU612" s="267"/>
      <c r="AV612" s="268"/>
      <c r="AW612" s="268"/>
      <c r="AX612" s="268"/>
      <c r="AY612" s="268"/>
      <c r="AZ612" s="268"/>
      <c r="BA612" s="268"/>
      <c r="BB612" s="268"/>
      <c r="BC612" s="268"/>
    </row>
    <row r="613" spans="1:55" s="277" customFormat="1" ht="18" customHeight="1" x14ac:dyDescent="0.35">
      <c r="A613" s="274">
        <f>MATCH(B613,STUDIES!$A$3:$A$502,0)</f>
        <v>47</v>
      </c>
      <c r="B613" s="272" t="s">
        <v>360</v>
      </c>
      <c r="C613" s="435"/>
      <c r="D613" s="281" t="s">
        <v>1105</v>
      </c>
      <c r="E613" s="272" t="s">
        <v>1163</v>
      </c>
      <c r="F613" s="155" t="str">
        <f>_xlfn.XLOOKUP(B613,STUDIES!$A$3:$A$1063,STUDIES!$G$3:$G$1063,"Not Found!")</f>
        <v>A</v>
      </c>
      <c r="G613" s="273" t="s">
        <v>147</v>
      </c>
      <c r="H613" s="273">
        <v>8</v>
      </c>
      <c r="I613" s="273">
        <v>65</v>
      </c>
      <c r="J613" s="274">
        <v>0</v>
      </c>
      <c r="K613" s="268"/>
      <c r="L613" s="268"/>
      <c r="M613" s="268"/>
      <c r="N613" s="268"/>
      <c r="O613" s="268"/>
      <c r="P613" s="268"/>
      <c r="Q613" s="282"/>
      <c r="R613" s="283"/>
      <c r="S613" s="268"/>
      <c r="T613" s="268"/>
      <c r="U613" s="268"/>
      <c r="V613" s="268"/>
      <c r="W613" s="268"/>
      <c r="X613" s="276"/>
      <c r="Y613" s="268"/>
      <c r="Z613" s="268"/>
      <c r="AA613" s="268"/>
      <c r="AB613" s="268"/>
      <c r="AC613" s="268"/>
      <c r="AD613" s="276"/>
      <c r="AE613" s="268"/>
      <c r="AF613" s="268"/>
      <c r="AG613" s="268"/>
      <c r="AH613" s="268"/>
      <c r="AI613" s="268"/>
      <c r="AJ613" s="276"/>
      <c r="AK613" s="268"/>
      <c r="AL613" s="268"/>
      <c r="AM613" s="268"/>
      <c r="AN613" s="268"/>
      <c r="AO613" s="275"/>
      <c r="AP613" s="268"/>
      <c r="AQ613" s="268"/>
      <c r="AR613" s="268"/>
      <c r="AS613" s="268"/>
      <c r="AT613" s="268"/>
      <c r="AU613" s="275"/>
      <c r="AV613" s="268"/>
      <c r="AW613" s="268"/>
      <c r="AX613" s="268"/>
      <c r="AY613" s="268"/>
      <c r="AZ613" s="268"/>
      <c r="BA613" s="268"/>
      <c r="BB613" s="268"/>
      <c r="BC613" s="268"/>
    </row>
    <row r="614" spans="1:55" s="277" customFormat="1" ht="18" customHeight="1" x14ac:dyDescent="0.35">
      <c r="A614" s="274">
        <f>MATCH(B614,STUDIES!$A$3:$A$502,0)</f>
        <v>47</v>
      </c>
      <c r="B614" s="272" t="s">
        <v>360</v>
      </c>
      <c r="C614" s="435"/>
      <c r="D614" s="281" t="s">
        <v>1105</v>
      </c>
      <c r="E614" s="272" t="s">
        <v>1167</v>
      </c>
      <c r="F614" s="155" t="str">
        <f>_xlfn.XLOOKUP(B614,STUDIES!$A$3:$A$1063,STUDIES!$G$3:$G$1063,"Not Found!")</f>
        <v>A</v>
      </c>
      <c r="G614" s="273" t="s">
        <v>147</v>
      </c>
      <c r="H614" s="273">
        <v>8</v>
      </c>
      <c r="I614" s="273">
        <v>65</v>
      </c>
      <c r="J614" s="274">
        <v>2</v>
      </c>
      <c r="K614" s="268"/>
      <c r="L614" s="268"/>
      <c r="M614" s="268"/>
      <c r="N614" s="268"/>
      <c r="O614" s="268"/>
      <c r="P614" s="268"/>
      <c r="Q614" s="282"/>
      <c r="R614" s="283"/>
      <c r="S614" s="268"/>
      <c r="T614" s="268"/>
      <c r="U614" s="268"/>
      <c r="V614" s="268"/>
      <c r="W614" s="268"/>
      <c r="X614" s="276"/>
      <c r="Y614" s="268"/>
      <c r="Z614" s="268"/>
      <c r="AA614" s="268"/>
      <c r="AB614" s="268"/>
      <c r="AC614" s="268"/>
      <c r="AD614" s="276"/>
      <c r="AE614" s="268"/>
      <c r="AF614" s="268"/>
      <c r="AG614" s="268"/>
      <c r="AH614" s="268"/>
      <c r="AI614" s="268"/>
      <c r="AJ614" s="276"/>
      <c r="AK614" s="268"/>
      <c r="AL614" s="268"/>
      <c r="AM614" s="268"/>
      <c r="AN614" s="268"/>
      <c r="AO614" s="275"/>
      <c r="AP614" s="268"/>
      <c r="AQ614" s="268"/>
      <c r="AR614" s="268"/>
      <c r="AS614" s="268"/>
      <c r="AT614" s="268"/>
      <c r="AU614" s="275"/>
      <c r="AV614" s="268"/>
      <c r="AW614" s="268"/>
      <c r="AX614" s="268"/>
      <c r="AY614" s="268"/>
      <c r="AZ614" s="268"/>
      <c r="BA614" s="268"/>
      <c r="BB614" s="268"/>
      <c r="BC614" s="268"/>
    </row>
    <row r="615" spans="1:55" s="277" customFormat="1" ht="18" customHeight="1" x14ac:dyDescent="0.35">
      <c r="A615" s="274">
        <f>MATCH(B615,STUDIES!$A$3:$A$502,0)</f>
        <v>47</v>
      </c>
      <c r="B615" s="272" t="s">
        <v>360</v>
      </c>
      <c r="C615" s="435"/>
      <c r="D615" s="281" t="s">
        <v>148</v>
      </c>
      <c r="E615" s="272" t="s">
        <v>1163</v>
      </c>
      <c r="F615" s="155" t="str">
        <f>_xlfn.XLOOKUP(B615,STUDIES!$A$3:$A$1063,STUDIES!$G$3:$G$1063,"Not Found!")</f>
        <v>A</v>
      </c>
      <c r="G615" s="273" t="s">
        <v>147</v>
      </c>
      <c r="H615" s="273">
        <v>8</v>
      </c>
      <c r="I615" s="273">
        <v>33</v>
      </c>
      <c r="J615" s="274">
        <v>1</v>
      </c>
      <c r="K615" s="268"/>
      <c r="L615" s="268"/>
      <c r="M615" s="268"/>
      <c r="N615" s="268"/>
      <c r="O615" s="268"/>
      <c r="P615" s="268"/>
      <c r="Q615" s="282"/>
      <c r="R615" s="283"/>
      <c r="S615" s="268"/>
      <c r="T615" s="268"/>
      <c r="U615" s="268"/>
      <c r="V615" s="268"/>
      <c r="W615" s="268"/>
      <c r="X615" s="276"/>
      <c r="Y615" s="268"/>
      <c r="Z615" s="268"/>
      <c r="AA615" s="268"/>
      <c r="AB615" s="268"/>
      <c r="AC615" s="268"/>
      <c r="AD615" s="276"/>
      <c r="AE615" s="268"/>
      <c r="AF615" s="268"/>
      <c r="AG615" s="268"/>
      <c r="AH615" s="268"/>
      <c r="AI615" s="268"/>
      <c r="AJ615" s="276"/>
      <c r="AK615" s="268"/>
      <c r="AL615" s="268"/>
      <c r="AM615" s="268"/>
      <c r="AN615" s="268"/>
      <c r="AO615" s="275"/>
      <c r="AP615" s="268"/>
      <c r="AQ615" s="268"/>
      <c r="AR615" s="268"/>
      <c r="AS615" s="268"/>
      <c r="AT615" s="268"/>
      <c r="AU615" s="275"/>
      <c r="AV615" s="268"/>
      <c r="AW615" s="268"/>
      <c r="AX615" s="268"/>
      <c r="AY615" s="268"/>
      <c r="AZ615" s="268"/>
      <c r="BA615" s="268"/>
      <c r="BB615" s="268"/>
      <c r="BC615" s="268"/>
    </row>
    <row r="616" spans="1:55" s="277" customFormat="1" ht="18" customHeight="1" x14ac:dyDescent="0.35">
      <c r="A616" s="274">
        <f>MATCH(B616,STUDIES!$A$3:$A$502,0)</f>
        <v>47</v>
      </c>
      <c r="B616" s="272" t="s">
        <v>360</v>
      </c>
      <c r="C616" s="435"/>
      <c r="D616" s="281" t="s">
        <v>148</v>
      </c>
      <c r="E616" s="272" t="s">
        <v>1167</v>
      </c>
      <c r="F616" s="155" t="str">
        <f>_xlfn.XLOOKUP(B616,STUDIES!$A$3:$A$1063,STUDIES!$G$3:$G$1063,"Not Found!")</f>
        <v>A</v>
      </c>
      <c r="G616" s="273" t="s">
        <v>147</v>
      </c>
      <c r="H616" s="273">
        <v>8</v>
      </c>
      <c r="I616" s="273">
        <v>33</v>
      </c>
      <c r="J616" s="274">
        <v>0</v>
      </c>
      <c r="K616" s="268"/>
      <c r="L616" s="268"/>
      <c r="M616" s="268"/>
      <c r="N616" s="268"/>
      <c r="O616" s="268"/>
      <c r="P616" s="268"/>
      <c r="Q616" s="282"/>
      <c r="R616" s="283"/>
      <c r="S616" s="268"/>
      <c r="T616" s="268"/>
      <c r="U616" s="268"/>
      <c r="V616" s="268"/>
      <c r="W616" s="268"/>
      <c r="X616" s="276"/>
      <c r="Y616" s="268"/>
      <c r="Z616" s="268"/>
      <c r="AA616" s="268"/>
      <c r="AB616" s="268"/>
      <c r="AC616" s="268"/>
      <c r="AD616" s="276"/>
      <c r="AE616" s="268"/>
      <c r="AF616" s="268"/>
      <c r="AG616" s="268"/>
      <c r="AH616" s="268"/>
      <c r="AI616" s="268"/>
      <c r="AJ616" s="276"/>
      <c r="AK616" s="268"/>
      <c r="AL616" s="268"/>
      <c r="AM616" s="268"/>
      <c r="AN616" s="268"/>
      <c r="AO616" s="275"/>
      <c r="AP616" s="268"/>
      <c r="AQ616" s="268"/>
      <c r="AR616" s="268"/>
      <c r="AS616" s="268"/>
      <c r="AT616" s="268"/>
      <c r="AU616" s="275"/>
      <c r="AV616" s="268"/>
      <c r="AW616" s="268"/>
      <c r="AX616" s="268"/>
      <c r="AY616" s="268"/>
      <c r="AZ616" s="268"/>
      <c r="BA616" s="268"/>
      <c r="BB616" s="268"/>
      <c r="BC616" s="268"/>
    </row>
    <row r="617" spans="1:55" s="277" customFormat="1" ht="18" customHeight="1" x14ac:dyDescent="0.35">
      <c r="A617" s="274">
        <f>MATCH(B617,STUDIES!$A$3:$A$502,0)</f>
        <v>48</v>
      </c>
      <c r="B617" s="272" t="s">
        <v>858</v>
      </c>
      <c r="C617" s="435"/>
      <c r="D617" s="317" t="s">
        <v>148</v>
      </c>
      <c r="E617" s="272" t="s">
        <v>154</v>
      </c>
      <c r="F617" s="155" t="str">
        <f>_xlfn.XLOOKUP(B617,STUDIES!$A$3:$A$1063,STUDIES!$G$3:$G$1063,"Not Found!")</f>
        <v>A</v>
      </c>
      <c r="G617" s="273" t="s">
        <v>147</v>
      </c>
      <c r="H617" s="273">
        <v>16</v>
      </c>
      <c r="I617" s="273">
        <v>197</v>
      </c>
      <c r="J617" s="274"/>
      <c r="K617" s="268"/>
      <c r="L617" s="268"/>
      <c r="M617" s="268"/>
      <c r="N617" s="268"/>
      <c r="O617" s="268"/>
      <c r="P617" s="268"/>
      <c r="Q617" s="282" t="s">
        <v>90</v>
      </c>
      <c r="R617" s="312">
        <v>-5</v>
      </c>
      <c r="S617" s="294">
        <v>0.59</v>
      </c>
      <c r="T617" s="268"/>
      <c r="U617" s="268"/>
      <c r="V617" s="268"/>
      <c r="W617" s="268"/>
      <c r="X617" s="276"/>
      <c r="Y617" s="268"/>
      <c r="Z617" s="268"/>
      <c r="AA617" s="268"/>
      <c r="AB617" s="268"/>
      <c r="AC617" s="268"/>
      <c r="AD617" s="276"/>
      <c r="AE617" s="268"/>
      <c r="AF617" s="268"/>
      <c r="AG617" s="268"/>
      <c r="AH617" s="268"/>
      <c r="AI617" s="268"/>
      <c r="AJ617" s="276"/>
      <c r="AK617" s="268"/>
      <c r="AL617" s="268"/>
      <c r="AM617" s="268"/>
      <c r="AN617" s="268"/>
      <c r="AO617" s="275"/>
      <c r="AP617" s="268"/>
      <c r="AQ617" s="268"/>
      <c r="AR617" s="268"/>
      <c r="AS617" s="268"/>
      <c r="AT617" s="268"/>
      <c r="AU617" s="275"/>
      <c r="AV617" s="268"/>
      <c r="AW617" s="268"/>
      <c r="AX617" s="268"/>
      <c r="AY617" s="268"/>
      <c r="AZ617" s="268"/>
      <c r="BA617" s="268"/>
      <c r="BB617" s="268"/>
      <c r="BC617" s="268"/>
    </row>
    <row r="618" spans="1:55" s="277" customFormat="1" ht="18" customHeight="1" x14ac:dyDescent="0.35">
      <c r="A618" s="274">
        <f>MATCH(B618,STUDIES!$A$3:$A$502,0)</f>
        <v>48</v>
      </c>
      <c r="B618" s="272" t="s">
        <v>858</v>
      </c>
      <c r="C618" s="435"/>
      <c r="D618" s="317" t="s">
        <v>148</v>
      </c>
      <c r="E618" s="272" t="s">
        <v>151</v>
      </c>
      <c r="F618" s="155" t="str">
        <f>_xlfn.XLOOKUP(B618,STUDIES!$A$3:$A$1063,STUDIES!$G$3:$G$1063,"Not Found!")</f>
        <v>A</v>
      </c>
      <c r="G618" s="273" t="s">
        <v>147</v>
      </c>
      <c r="H618" s="273">
        <v>16</v>
      </c>
      <c r="I618" s="273">
        <v>197</v>
      </c>
      <c r="J618" s="274"/>
      <c r="K618" s="268"/>
      <c r="L618" s="268"/>
      <c r="M618" s="268"/>
      <c r="N618" s="268"/>
      <c r="O618" s="268"/>
      <c r="P618" s="268"/>
      <c r="Q618" s="282" t="s">
        <v>90</v>
      </c>
      <c r="R618" s="283">
        <v>-9</v>
      </c>
      <c r="S618" s="268">
        <v>1.05</v>
      </c>
      <c r="T618" s="268"/>
      <c r="U618" s="268"/>
      <c r="V618" s="268"/>
      <c r="W618" s="268"/>
      <c r="X618" s="276"/>
      <c r="Y618" s="268"/>
      <c r="Z618" s="268"/>
      <c r="AA618" s="268"/>
      <c r="AB618" s="268"/>
      <c r="AC618" s="268"/>
      <c r="AD618" s="276"/>
      <c r="AE618" s="268"/>
      <c r="AF618" s="268"/>
      <c r="AG618" s="268"/>
      <c r="AH618" s="268"/>
      <c r="AI618" s="268"/>
      <c r="AJ618" s="276"/>
      <c r="AK618" s="268"/>
      <c r="AL618" s="268"/>
      <c r="AM618" s="268"/>
      <c r="AN618" s="268"/>
      <c r="AO618" s="275"/>
      <c r="AP618" s="268"/>
      <c r="AQ618" s="268"/>
      <c r="AR618" s="268"/>
      <c r="AS618" s="268"/>
      <c r="AT618" s="268"/>
      <c r="AU618" s="275"/>
      <c r="AV618" s="268"/>
      <c r="AW618" s="268"/>
      <c r="AX618" s="268"/>
      <c r="AY618" s="268"/>
      <c r="AZ618" s="268"/>
      <c r="BA618" s="268"/>
      <c r="BB618" s="268"/>
      <c r="BC618" s="268"/>
    </row>
    <row r="619" spans="1:55" s="277" customFormat="1" ht="18" customHeight="1" x14ac:dyDescent="0.35">
      <c r="A619" s="274">
        <f>MATCH(B619,STUDIES!$A$3:$A$502,0)</f>
        <v>48</v>
      </c>
      <c r="B619" s="336" t="s">
        <v>858</v>
      </c>
      <c r="C619" s="461"/>
      <c r="D619" s="317" t="s">
        <v>148</v>
      </c>
      <c r="E619" s="272" t="s">
        <v>153</v>
      </c>
      <c r="F619" s="155" t="str">
        <f>_xlfn.XLOOKUP(B619,STUDIES!$A$3:$A$1063,STUDIES!$G$3:$G$1063,"Not Found!")</f>
        <v>A</v>
      </c>
      <c r="G619" s="273" t="s">
        <v>147</v>
      </c>
      <c r="H619" s="273">
        <v>16</v>
      </c>
      <c r="I619" s="273">
        <v>197</v>
      </c>
      <c r="J619" s="274"/>
      <c r="K619" s="268"/>
      <c r="L619" s="268"/>
      <c r="M619" s="268"/>
      <c r="N619" s="268"/>
      <c r="O619" s="268"/>
      <c r="P619" s="268"/>
      <c r="Q619" s="282" t="s">
        <v>90</v>
      </c>
      <c r="R619" s="283">
        <v>-3</v>
      </c>
      <c r="S619" s="268">
        <v>0.66</v>
      </c>
      <c r="T619" s="268"/>
      <c r="U619" s="268"/>
      <c r="V619" s="268"/>
      <c r="W619" s="268"/>
      <c r="X619" s="276"/>
      <c r="Y619" s="268"/>
      <c r="Z619" s="268"/>
      <c r="AA619" s="268"/>
      <c r="AB619" s="268"/>
      <c r="AC619" s="268"/>
      <c r="AD619" s="276"/>
      <c r="AE619" s="268"/>
      <c r="AF619" s="268"/>
      <c r="AG619" s="268"/>
      <c r="AH619" s="268"/>
      <c r="AI619" s="268"/>
      <c r="AJ619" s="276"/>
      <c r="AK619" s="268"/>
      <c r="AL619" s="268"/>
      <c r="AM619" s="268"/>
      <c r="AN619" s="268"/>
      <c r="AO619" s="275"/>
      <c r="AP619" s="268"/>
      <c r="AQ619" s="268"/>
      <c r="AR619" s="268"/>
      <c r="AS619" s="268"/>
      <c r="AT619" s="268"/>
      <c r="AU619" s="275"/>
      <c r="AV619" s="268"/>
      <c r="AW619" s="268"/>
      <c r="AX619" s="268"/>
      <c r="AY619" s="268"/>
      <c r="AZ619" s="268"/>
      <c r="BA619" s="268"/>
      <c r="BB619" s="268"/>
      <c r="BC619" s="268"/>
    </row>
    <row r="620" spans="1:55" s="277" customFormat="1" ht="18" customHeight="1" x14ac:dyDescent="0.35">
      <c r="A620" s="274">
        <f>MATCH(B620,STUDIES!$A$3:$A$502,0)</f>
        <v>48</v>
      </c>
      <c r="B620" s="336" t="s">
        <v>858</v>
      </c>
      <c r="C620" s="461"/>
      <c r="D620" s="317" t="s">
        <v>148</v>
      </c>
      <c r="E620" s="272" t="s">
        <v>695</v>
      </c>
      <c r="F620" s="155" t="str">
        <f>_xlfn.XLOOKUP(B620,STUDIES!$A$3:$A$1063,STUDIES!$G$3:$G$1063,"Not Found!")</f>
        <v>A</v>
      </c>
      <c r="G620" s="273" t="s">
        <v>147</v>
      </c>
      <c r="H620" s="273">
        <v>16</v>
      </c>
      <c r="I620" s="273">
        <v>197</v>
      </c>
      <c r="J620" s="274"/>
      <c r="K620" s="268"/>
      <c r="L620" s="268"/>
      <c r="M620" s="268"/>
      <c r="N620" s="268"/>
      <c r="O620" s="268"/>
      <c r="P620" s="268"/>
      <c r="Q620" s="282" t="s">
        <v>90</v>
      </c>
      <c r="R620" s="283">
        <v>-1.7</v>
      </c>
      <c r="S620" s="268">
        <v>0.21</v>
      </c>
      <c r="T620" s="268"/>
      <c r="U620" s="268"/>
      <c r="V620" s="268"/>
      <c r="W620" s="268"/>
      <c r="X620" s="276"/>
      <c r="Y620" s="268"/>
      <c r="Z620" s="268"/>
      <c r="AA620" s="268"/>
      <c r="AB620" s="268"/>
      <c r="AC620" s="268"/>
      <c r="AD620" s="276"/>
      <c r="AE620" s="268"/>
      <c r="AF620" s="268"/>
      <c r="AG620" s="268"/>
      <c r="AH620" s="268"/>
      <c r="AI620" s="268"/>
      <c r="AJ620" s="276"/>
      <c r="AK620" s="268"/>
      <c r="AL620" s="268"/>
      <c r="AM620" s="268"/>
      <c r="AN620" s="268"/>
      <c r="AO620" s="275"/>
      <c r="AP620" s="268"/>
      <c r="AQ620" s="268"/>
      <c r="AR620" s="268"/>
      <c r="AS620" s="268"/>
      <c r="AT620" s="268"/>
      <c r="AU620" s="275"/>
      <c r="AV620" s="268"/>
      <c r="AW620" s="268"/>
      <c r="AX620" s="268"/>
      <c r="AY620" s="268"/>
      <c r="AZ620" s="268"/>
      <c r="BA620" s="268"/>
      <c r="BB620" s="268"/>
      <c r="BC620" s="268"/>
    </row>
    <row r="621" spans="1:55" s="277" customFormat="1" ht="18" customHeight="1" x14ac:dyDescent="0.35">
      <c r="A621" s="274">
        <f>MATCH(B621,STUDIES!$A$3:$A$502,0)</f>
        <v>48</v>
      </c>
      <c r="B621" s="272" t="s">
        <v>858</v>
      </c>
      <c r="C621" s="435"/>
      <c r="D621" s="317" t="s">
        <v>1096</v>
      </c>
      <c r="E621" s="272" t="s">
        <v>154</v>
      </c>
      <c r="F621" s="155" t="str">
        <f>_xlfn.XLOOKUP(B621,STUDIES!$A$3:$A$1063,STUDIES!$G$3:$G$1063,"Not Found!")</f>
        <v>A</v>
      </c>
      <c r="G621" s="273" t="s">
        <v>147</v>
      </c>
      <c r="H621" s="273">
        <v>16</v>
      </c>
      <c r="I621" s="273">
        <v>601</v>
      </c>
      <c r="J621" s="274"/>
      <c r="K621" s="268"/>
      <c r="L621" s="268"/>
      <c r="M621" s="268"/>
      <c r="N621" s="268"/>
      <c r="O621" s="268"/>
      <c r="P621" s="268"/>
      <c r="Q621" s="282" t="s">
        <v>90</v>
      </c>
      <c r="R621" s="312">
        <v>-7.1</v>
      </c>
      <c r="S621" s="294">
        <v>0.31</v>
      </c>
      <c r="T621" s="268"/>
      <c r="U621" s="268"/>
      <c r="V621" s="268"/>
      <c r="W621" s="268"/>
      <c r="X621" s="276"/>
      <c r="Y621" s="268"/>
      <c r="Z621" s="268"/>
      <c r="AA621" s="268"/>
      <c r="AB621" s="268"/>
      <c r="AC621" s="268"/>
      <c r="AD621" s="276"/>
      <c r="AE621" s="268"/>
      <c r="AF621" s="268"/>
      <c r="AG621" s="268"/>
      <c r="AH621" s="268"/>
      <c r="AI621" s="268"/>
      <c r="AJ621" s="276"/>
      <c r="AK621" s="268"/>
      <c r="AL621" s="268"/>
      <c r="AM621" s="268"/>
      <c r="AN621" s="268"/>
      <c r="AO621" s="275"/>
      <c r="AP621" s="268"/>
      <c r="AQ621" s="268"/>
      <c r="AR621" s="268"/>
      <c r="AS621" s="268"/>
      <c r="AT621" s="268"/>
      <c r="AU621" s="275"/>
      <c r="AV621" s="268"/>
      <c r="AW621" s="268"/>
      <c r="AX621" s="268"/>
      <c r="AY621" s="268"/>
      <c r="AZ621" s="268"/>
      <c r="BA621" s="268"/>
      <c r="BB621" s="268"/>
      <c r="BC621" s="268"/>
    </row>
    <row r="622" spans="1:55" s="277" customFormat="1" ht="18" customHeight="1" x14ac:dyDescent="0.35">
      <c r="A622" s="274">
        <f>MATCH(B622,STUDIES!$A$3:$A$502,0)</f>
        <v>48</v>
      </c>
      <c r="B622" s="272" t="s">
        <v>858</v>
      </c>
      <c r="C622" s="435"/>
      <c r="D622" s="317" t="s">
        <v>1096</v>
      </c>
      <c r="E622" s="272" t="s">
        <v>151</v>
      </c>
      <c r="F622" s="155" t="str">
        <f>_xlfn.XLOOKUP(B622,STUDIES!$A$3:$A$1063,STUDIES!$G$3:$G$1063,"Not Found!")</f>
        <v>A</v>
      </c>
      <c r="G622" s="273" t="s">
        <v>147</v>
      </c>
      <c r="H622" s="273">
        <v>16</v>
      </c>
      <c r="I622" s="273">
        <v>601</v>
      </c>
      <c r="J622" s="274"/>
      <c r="K622" s="268"/>
      <c r="L622" s="268"/>
      <c r="M622" s="268"/>
      <c r="N622" s="268"/>
      <c r="O622" s="268"/>
      <c r="P622" s="268"/>
      <c r="Q622" s="282" t="s">
        <v>90</v>
      </c>
      <c r="R622" s="283">
        <v>-15.5</v>
      </c>
      <c r="S622" s="268">
        <v>0.55000000000000004</v>
      </c>
      <c r="T622" s="268"/>
      <c r="U622" s="268"/>
      <c r="V622" s="268"/>
      <c r="W622" s="268"/>
      <c r="X622" s="276"/>
      <c r="Y622" s="268"/>
      <c r="Z622" s="268"/>
      <c r="AA622" s="268"/>
      <c r="AB622" s="268"/>
      <c r="AC622" s="268"/>
      <c r="AD622" s="276"/>
      <c r="AE622" s="268"/>
      <c r="AF622" s="268"/>
      <c r="AG622" s="268"/>
      <c r="AH622" s="268"/>
      <c r="AI622" s="268"/>
      <c r="AJ622" s="276"/>
      <c r="AK622" s="268"/>
      <c r="AL622" s="268"/>
      <c r="AM622" s="268"/>
      <c r="AN622" s="268"/>
      <c r="AO622" s="275"/>
      <c r="AP622" s="268"/>
      <c r="AQ622" s="268"/>
      <c r="AR622" s="268"/>
      <c r="AS622" s="268"/>
      <c r="AT622" s="268"/>
      <c r="AU622" s="275"/>
      <c r="AV622" s="268"/>
      <c r="AW622" s="268"/>
      <c r="AX622" s="268"/>
      <c r="AY622" s="268"/>
      <c r="AZ622" s="268"/>
      <c r="BA622" s="268"/>
      <c r="BB622" s="268"/>
      <c r="BC622" s="268"/>
    </row>
    <row r="623" spans="1:55" s="277" customFormat="1" ht="18" customHeight="1" x14ac:dyDescent="0.35">
      <c r="A623" s="274">
        <f>MATCH(B623,STUDIES!$A$3:$A$502,0)</f>
        <v>48</v>
      </c>
      <c r="B623" s="336" t="s">
        <v>858</v>
      </c>
      <c r="C623" s="461"/>
      <c r="D623" s="317" t="s">
        <v>1096</v>
      </c>
      <c r="E623" s="272" t="s">
        <v>153</v>
      </c>
      <c r="F623" s="155" t="str">
        <f>_xlfn.XLOOKUP(B623,STUDIES!$A$3:$A$1063,STUDIES!$G$3:$G$1063,"Not Found!")</f>
        <v>A</v>
      </c>
      <c r="G623" s="273" t="s">
        <v>147</v>
      </c>
      <c r="H623" s="273">
        <v>16</v>
      </c>
      <c r="I623" s="273">
        <v>601</v>
      </c>
      <c r="J623" s="274"/>
      <c r="K623" s="268"/>
      <c r="L623" s="268"/>
      <c r="M623" s="268"/>
      <c r="N623" s="268"/>
      <c r="O623" s="268"/>
      <c r="P623" s="268"/>
      <c r="Q623" s="282" t="s">
        <v>90</v>
      </c>
      <c r="R623" s="283">
        <v>-7.6</v>
      </c>
      <c r="S623" s="268">
        <v>0.35</v>
      </c>
      <c r="T623" s="268"/>
      <c r="U623" s="268"/>
      <c r="V623" s="268"/>
      <c r="W623" s="268"/>
      <c r="X623" s="276"/>
      <c r="Y623" s="268"/>
      <c r="Z623" s="268"/>
      <c r="AA623" s="268"/>
      <c r="AB623" s="268"/>
      <c r="AC623" s="268"/>
      <c r="AD623" s="276"/>
      <c r="AE623" s="268"/>
      <c r="AF623" s="268"/>
      <c r="AG623" s="268"/>
      <c r="AH623" s="268"/>
      <c r="AI623" s="268"/>
      <c r="AJ623" s="276"/>
      <c r="AK623" s="268"/>
      <c r="AL623" s="268"/>
      <c r="AM623" s="268"/>
      <c r="AN623" s="268"/>
      <c r="AO623" s="275"/>
      <c r="AP623" s="268"/>
      <c r="AQ623" s="268"/>
      <c r="AR623" s="268"/>
      <c r="AS623" s="268"/>
      <c r="AT623" s="268"/>
      <c r="AU623" s="275"/>
      <c r="AV623" s="268"/>
      <c r="AW623" s="268"/>
      <c r="AX623" s="268"/>
      <c r="AY623" s="268"/>
      <c r="AZ623" s="268"/>
      <c r="BA623" s="268"/>
      <c r="BB623" s="268"/>
      <c r="BC623" s="268"/>
    </row>
    <row r="624" spans="1:55" s="277" customFormat="1" ht="18" customHeight="1" x14ac:dyDescent="0.35">
      <c r="A624" s="274">
        <f>MATCH(B624,STUDIES!$A$3:$A$502,0)</f>
        <v>48</v>
      </c>
      <c r="B624" s="336" t="s">
        <v>858</v>
      </c>
      <c r="C624" s="461"/>
      <c r="D624" s="317" t="s">
        <v>1096</v>
      </c>
      <c r="E624" s="272" t="s">
        <v>695</v>
      </c>
      <c r="F624" s="155" t="str">
        <f>_xlfn.XLOOKUP(B624,STUDIES!$A$3:$A$1063,STUDIES!$G$3:$G$1063,"Not Found!")</f>
        <v>A</v>
      </c>
      <c r="G624" s="273" t="s">
        <v>147</v>
      </c>
      <c r="H624" s="273">
        <v>16</v>
      </c>
      <c r="I624" s="273">
        <v>601</v>
      </c>
      <c r="J624" s="274"/>
      <c r="K624" s="268"/>
      <c r="L624" s="268"/>
      <c r="M624" s="268"/>
      <c r="N624" s="268"/>
      <c r="O624" s="268"/>
      <c r="P624" s="268"/>
      <c r="Q624" s="282" t="s">
        <v>90</v>
      </c>
      <c r="R624" s="283">
        <v>-2.6</v>
      </c>
      <c r="S624" s="268">
        <v>0.11</v>
      </c>
      <c r="T624" s="268"/>
      <c r="U624" s="268"/>
      <c r="V624" s="268"/>
      <c r="W624" s="268"/>
      <c r="X624" s="276"/>
      <c r="Y624" s="268"/>
      <c r="Z624" s="268"/>
      <c r="AA624" s="268"/>
      <c r="AB624" s="268"/>
      <c r="AC624" s="268"/>
      <c r="AD624" s="276"/>
      <c r="AE624" s="268"/>
      <c r="AF624" s="268"/>
      <c r="AG624" s="268"/>
      <c r="AH624" s="268"/>
      <c r="AI624" s="268"/>
      <c r="AJ624" s="276"/>
      <c r="AK624" s="268"/>
      <c r="AL624" s="268"/>
      <c r="AM624" s="268"/>
      <c r="AN624" s="268"/>
      <c r="AO624" s="275"/>
      <c r="AP624" s="268"/>
      <c r="AQ624" s="268"/>
      <c r="AR624" s="268"/>
      <c r="AS624" s="268"/>
      <c r="AT624" s="268"/>
      <c r="AU624" s="275"/>
      <c r="AV624" s="268"/>
      <c r="AW624" s="268"/>
      <c r="AX624" s="268"/>
      <c r="AY624" s="268"/>
      <c r="AZ624" s="268"/>
      <c r="BA624" s="268"/>
      <c r="BB624" s="268"/>
      <c r="BC624" s="268"/>
    </row>
    <row r="625" spans="1:55" s="277" customFormat="1" ht="18" customHeight="1" x14ac:dyDescent="0.35">
      <c r="A625" s="274">
        <f>MATCH(B625,STUDIES!$A$3:$A$502,0)</f>
        <v>48</v>
      </c>
      <c r="B625" s="272" t="s">
        <v>858</v>
      </c>
      <c r="C625" s="435"/>
      <c r="D625" s="281" t="s">
        <v>1096</v>
      </c>
      <c r="E625" s="272" t="s">
        <v>1163</v>
      </c>
      <c r="F625" s="155" t="str">
        <f>_xlfn.XLOOKUP(B625,STUDIES!$A$3:$A$1063,STUDIES!$G$3:$G$1063,"Not Found!")</f>
        <v>A</v>
      </c>
      <c r="G625" s="273" t="s">
        <v>147</v>
      </c>
      <c r="H625" s="273">
        <v>16</v>
      </c>
      <c r="I625" s="273">
        <v>602</v>
      </c>
      <c r="J625" s="274">
        <v>23</v>
      </c>
      <c r="K625" s="268"/>
      <c r="L625" s="268"/>
      <c r="M625" s="268"/>
      <c r="N625" s="268"/>
      <c r="O625" s="268"/>
      <c r="P625" s="268"/>
      <c r="Q625" s="282"/>
      <c r="R625" s="283"/>
      <c r="S625" s="268"/>
      <c r="T625" s="268"/>
      <c r="U625" s="268"/>
      <c r="V625" s="268"/>
      <c r="W625" s="268"/>
      <c r="X625" s="276"/>
      <c r="Y625" s="268"/>
      <c r="Z625" s="268"/>
      <c r="AA625" s="268"/>
      <c r="AB625" s="268"/>
      <c r="AC625" s="268"/>
      <c r="AD625" s="276"/>
      <c r="AE625" s="268"/>
      <c r="AF625" s="268"/>
      <c r="AG625" s="268"/>
      <c r="AH625" s="268"/>
      <c r="AI625" s="268"/>
      <c r="AJ625" s="276"/>
      <c r="AK625" s="268"/>
      <c r="AL625" s="268"/>
      <c r="AM625" s="268"/>
      <c r="AN625" s="268"/>
      <c r="AO625" s="275"/>
      <c r="AP625" s="268"/>
      <c r="AQ625" s="268"/>
      <c r="AR625" s="268"/>
      <c r="AS625" s="268"/>
      <c r="AT625" s="268"/>
      <c r="AU625" s="275"/>
      <c r="AV625" s="268"/>
      <c r="AW625" s="268"/>
      <c r="AX625" s="268"/>
      <c r="AY625" s="268"/>
      <c r="AZ625" s="268"/>
      <c r="BA625" s="268"/>
      <c r="BB625" s="268"/>
      <c r="BC625" s="268"/>
    </row>
    <row r="626" spans="1:55" s="277" customFormat="1" ht="18" customHeight="1" x14ac:dyDescent="0.35">
      <c r="A626" s="274">
        <f>MATCH(B626,STUDIES!$A$3:$A$502,0)</f>
        <v>48</v>
      </c>
      <c r="B626" s="272" t="s">
        <v>858</v>
      </c>
      <c r="C626" s="435"/>
      <c r="D626" s="281" t="s">
        <v>1096</v>
      </c>
      <c r="E626" s="272" t="s">
        <v>1167</v>
      </c>
      <c r="F626" s="155" t="str">
        <f>_xlfn.XLOOKUP(B626,STUDIES!$A$3:$A$1063,STUDIES!$G$3:$G$1063,"Not Found!")</f>
        <v>A</v>
      </c>
      <c r="G626" s="273" t="s">
        <v>147</v>
      </c>
      <c r="H626" s="273">
        <v>16</v>
      </c>
      <c r="I626" s="273">
        <v>602</v>
      </c>
      <c r="J626" s="274">
        <v>20</v>
      </c>
      <c r="K626" s="268"/>
      <c r="L626" s="268"/>
      <c r="M626" s="268"/>
      <c r="N626" s="268"/>
      <c r="O626" s="268"/>
      <c r="P626" s="268"/>
      <c r="Q626" s="282"/>
      <c r="R626" s="283"/>
      <c r="S626" s="268"/>
      <c r="T626" s="268"/>
      <c r="U626" s="268"/>
      <c r="V626" s="268"/>
      <c r="W626" s="268"/>
      <c r="X626" s="276"/>
      <c r="Y626" s="268"/>
      <c r="Z626" s="268"/>
      <c r="AA626" s="268"/>
      <c r="AB626" s="268"/>
      <c r="AC626" s="268"/>
      <c r="AD626" s="276"/>
      <c r="AE626" s="268"/>
      <c r="AF626" s="268"/>
      <c r="AG626" s="268"/>
      <c r="AH626" s="268"/>
      <c r="AI626" s="268"/>
      <c r="AJ626" s="276"/>
      <c r="AK626" s="268"/>
      <c r="AL626" s="268"/>
      <c r="AM626" s="268"/>
      <c r="AN626" s="268"/>
      <c r="AO626" s="275"/>
      <c r="AP626" s="268"/>
      <c r="AQ626" s="268"/>
      <c r="AR626" s="268"/>
      <c r="AS626" s="268"/>
      <c r="AT626" s="268"/>
      <c r="AU626" s="275"/>
      <c r="AV626" s="268"/>
      <c r="AW626" s="268"/>
      <c r="AX626" s="268"/>
      <c r="AY626" s="268"/>
      <c r="AZ626" s="268"/>
      <c r="BA626" s="268"/>
      <c r="BB626" s="268"/>
      <c r="BC626" s="268"/>
    </row>
    <row r="627" spans="1:55" s="277" customFormat="1" ht="18" customHeight="1" x14ac:dyDescent="0.35">
      <c r="A627" s="274">
        <f>MATCH(B627,STUDIES!$A$3:$A$502,0)</f>
        <v>48</v>
      </c>
      <c r="B627" s="272" t="s">
        <v>858</v>
      </c>
      <c r="C627" s="435"/>
      <c r="D627" s="281" t="s">
        <v>148</v>
      </c>
      <c r="E627" s="272" t="s">
        <v>1163</v>
      </c>
      <c r="F627" s="155" t="str">
        <f>_xlfn.XLOOKUP(B627,STUDIES!$A$3:$A$1063,STUDIES!$G$3:$G$1063,"Not Found!")</f>
        <v>A</v>
      </c>
      <c r="G627" s="273" t="s">
        <v>147</v>
      </c>
      <c r="H627" s="273">
        <v>16</v>
      </c>
      <c r="I627" s="273">
        <v>196</v>
      </c>
      <c r="J627" s="274">
        <v>8</v>
      </c>
      <c r="K627" s="268"/>
      <c r="L627" s="268"/>
      <c r="M627" s="268"/>
      <c r="N627" s="268"/>
      <c r="O627" s="268"/>
      <c r="P627" s="268"/>
      <c r="Q627" s="282"/>
      <c r="R627" s="283"/>
      <c r="S627" s="268"/>
      <c r="T627" s="268"/>
      <c r="U627" s="268"/>
      <c r="V627" s="268"/>
      <c r="W627" s="268"/>
      <c r="X627" s="276"/>
      <c r="Y627" s="268"/>
      <c r="Z627" s="268"/>
      <c r="AA627" s="268"/>
      <c r="AB627" s="268"/>
      <c r="AC627" s="268"/>
      <c r="AD627" s="276"/>
      <c r="AE627" s="268"/>
      <c r="AF627" s="268"/>
      <c r="AG627" s="268"/>
      <c r="AH627" s="268"/>
      <c r="AI627" s="268"/>
      <c r="AJ627" s="276"/>
      <c r="AK627" s="268"/>
      <c r="AL627" s="268"/>
      <c r="AM627" s="268"/>
      <c r="AN627" s="268"/>
      <c r="AO627" s="275"/>
      <c r="AP627" s="268"/>
      <c r="AQ627" s="268"/>
      <c r="AR627" s="268"/>
      <c r="AS627" s="268"/>
      <c r="AT627" s="268"/>
      <c r="AU627" s="275"/>
      <c r="AV627" s="268"/>
      <c r="AW627" s="268"/>
      <c r="AX627" s="268"/>
      <c r="AY627" s="268"/>
      <c r="AZ627" s="268"/>
      <c r="BA627" s="268"/>
      <c r="BB627" s="268"/>
      <c r="BC627" s="268"/>
    </row>
    <row r="628" spans="1:55" s="277" customFormat="1" ht="18" customHeight="1" x14ac:dyDescent="0.35">
      <c r="A628" s="274">
        <f>MATCH(B628,STUDIES!$A$3:$A$502,0)</f>
        <v>48</v>
      </c>
      <c r="B628" s="272" t="s">
        <v>858</v>
      </c>
      <c r="C628" s="435"/>
      <c r="D628" s="281" t="s">
        <v>148</v>
      </c>
      <c r="E628" s="272" t="s">
        <v>1167</v>
      </c>
      <c r="F628" s="155" t="str">
        <f>_xlfn.XLOOKUP(B628,STUDIES!$A$3:$A$1063,STUDIES!$G$3:$G$1063,"Not Found!")</f>
        <v>A</v>
      </c>
      <c r="G628" s="273" t="s">
        <v>147</v>
      </c>
      <c r="H628" s="273">
        <v>16</v>
      </c>
      <c r="I628" s="273">
        <v>196</v>
      </c>
      <c r="J628" s="274">
        <v>8</v>
      </c>
      <c r="K628" s="268"/>
      <c r="L628" s="268"/>
      <c r="M628" s="268"/>
      <c r="N628" s="268"/>
      <c r="O628" s="268"/>
      <c r="P628" s="268"/>
      <c r="Q628" s="282"/>
      <c r="R628" s="283"/>
      <c r="S628" s="268"/>
      <c r="T628" s="268"/>
      <c r="U628" s="268"/>
      <c r="V628" s="268"/>
      <c r="W628" s="268"/>
      <c r="X628" s="276"/>
      <c r="Y628" s="268"/>
      <c r="Z628" s="268"/>
      <c r="AA628" s="268"/>
      <c r="AB628" s="268"/>
      <c r="AC628" s="268"/>
      <c r="AD628" s="276"/>
      <c r="AE628" s="268"/>
      <c r="AF628" s="268"/>
      <c r="AG628" s="268"/>
      <c r="AH628" s="268"/>
      <c r="AI628" s="268"/>
      <c r="AJ628" s="276"/>
      <c r="AK628" s="268"/>
      <c r="AL628" s="268"/>
      <c r="AM628" s="268"/>
      <c r="AN628" s="268"/>
      <c r="AO628" s="275"/>
      <c r="AP628" s="268"/>
      <c r="AQ628" s="268"/>
      <c r="AR628" s="268"/>
      <c r="AS628" s="268"/>
      <c r="AT628" s="268"/>
      <c r="AU628" s="275"/>
      <c r="AV628" s="268"/>
      <c r="AW628" s="268"/>
      <c r="AX628" s="268"/>
      <c r="AY628" s="268"/>
      <c r="AZ628" s="268"/>
      <c r="BA628" s="268"/>
      <c r="BB628" s="268"/>
      <c r="BC628" s="268"/>
    </row>
    <row r="629" spans="1:55" s="277" customFormat="1" ht="18" customHeight="1" x14ac:dyDescent="0.35">
      <c r="A629" s="274">
        <f>MATCH(B629,STUDIES!$A$3:$A$502,0)</f>
        <v>49</v>
      </c>
      <c r="B629" s="272" t="s">
        <v>862</v>
      </c>
      <c r="C629" s="435"/>
      <c r="D629" s="317" t="s">
        <v>148</v>
      </c>
      <c r="E629" s="272" t="s">
        <v>154</v>
      </c>
      <c r="F629" s="155" t="str">
        <f>_xlfn.XLOOKUP(B629,STUDIES!$A$3:$A$1063,STUDIES!$G$3:$G$1063,"Not Found!")</f>
        <v>A</v>
      </c>
      <c r="G629" s="273" t="s">
        <v>147</v>
      </c>
      <c r="H629" s="273">
        <v>16</v>
      </c>
      <c r="I629" s="273">
        <v>201</v>
      </c>
      <c r="J629" s="274"/>
      <c r="K629" s="268"/>
      <c r="L629" s="268"/>
      <c r="M629" s="268"/>
      <c r="N629" s="268"/>
      <c r="O629" s="268"/>
      <c r="P629" s="268"/>
      <c r="Q629" s="282" t="s">
        <v>90</v>
      </c>
      <c r="R629" s="312">
        <v>-4.9000000000000004</v>
      </c>
      <c r="S629" s="294">
        <v>0.6</v>
      </c>
      <c r="T629" s="268"/>
      <c r="U629" s="268"/>
      <c r="V629" s="268"/>
      <c r="W629" s="268"/>
      <c r="X629" s="276"/>
      <c r="Y629" s="268"/>
      <c r="Z629" s="268"/>
      <c r="AA629" s="268"/>
      <c r="AB629" s="268"/>
      <c r="AC629" s="268"/>
      <c r="AD629" s="276"/>
      <c r="AE629" s="268"/>
      <c r="AF629" s="268"/>
      <c r="AG629" s="268"/>
      <c r="AH629" s="268"/>
      <c r="AI629" s="268"/>
      <c r="AJ629" s="276"/>
      <c r="AK629" s="268"/>
      <c r="AL629" s="268"/>
      <c r="AM629" s="268"/>
      <c r="AN629" s="268"/>
      <c r="AO629" s="275"/>
      <c r="AP629" s="268"/>
      <c r="AQ629" s="268"/>
      <c r="AR629" s="268"/>
      <c r="AS629" s="268"/>
      <c r="AT629" s="268"/>
      <c r="AU629" s="275"/>
      <c r="AV629" s="268"/>
      <c r="AW629" s="268"/>
      <c r="AX629" s="268"/>
      <c r="AY629" s="268"/>
      <c r="AZ629" s="268"/>
      <c r="BA629" s="268"/>
      <c r="BB629" s="268"/>
      <c r="BC629" s="268"/>
    </row>
    <row r="630" spans="1:55" s="277" customFormat="1" ht="18" customHeight="1" x14ac:dyDescent="0.35">
      <c r="A630" s="274">
        <f>MATCH(B630,STUDIES!$A$3:$A$502,0)</f>
        <v>49</v>
      </c>
      <c r="B630" s="272" t="s">
        <v>862</v>
      </c>
      <c r="C630" s="435"/>
      <c r="D630" s="317" t="s">
        <v>148</v>
      </c>
      <c r="E630" s="272" t="s">
        <v>151</v>
      </c>
      <c r="F630" s="155" t="str">
        <f>_xlfn.XLOOKUP(B630,STUDIES!$A$3:$A$1063,STUDIES!$G$3:$G$1063,"Not Found!")</f>
        <v>A</v>
      </c>
      <c r="G630" s="273" t="s">
        <v>147</v>
      </c>
      <c r="H630" s="273">
        <v>16</v>
      </c>
      <c r="I630" s="273">
        <v>201</v>
      </c>
      <c r="J630" s="274"/>
      <c r="K630" s="268"/>
      <c r="L630" s="268"/>
      <c r="M630" s="268"/>
      <c r="N630" s="268"/>
      <c r="O630" s="268"/>
      <c r="P630" s="268"/>
      <c r="Q630" s="282" t="s">
        <v>90</v>
      </c>
      <c r="R630" s="283">
        <v>-7</v>
      </c>
      <c r="S630" s="268">
        <v>1.06</v>
      </c>
      <c r="T630" s="268"/>
      <c r="U630" s="268"/>
      <c r="V630" s="268"/>
      <c r="W630" s="268"/>
      <c r="X630" s="276"/>
      <c r="Y630" s="268"/>
      <c r="Z630" s="268"/>
      <c r="AA630" s="268"/>
      <c r="AB630" s="268"/>
      <c r="AC630" s="268"/>
      <c r="AD630" s="276"/>
      <c r="AE630" s="268"/>
      <c r="AF630" s="268"/>
      <c r="AG630" s="268"/>
      <c r="AH630" s="268"/>
      <c r="AI630" s="268"/>
      <c r="AJ630" s="276"/>
      <c r="AK630" s="268"/>
      <c r="AL630" s="268"/>
      <c r="AM630" s="268"/>
      <c r="AN630" s="268"/>
      <c r="AO630" s="275"/>
      <c r="AP630" s="268"/>
      <c r="AQ630" s="268"/>
      <c r="AR630" s="268"/>
      <c r="AS630" s="268"/>
      <c r="AT630" s="268"/>
      <c r="AU630" s="275"/>
      <c r="AV630" s="268"/>
      <c r="AW630" s="268"/>
      <c r="AX630" s="268"/>
      <c r="AY630" s="268"/>
      <c r="AZ630" s="268"/>
      <c r="BA630" s="268"/>
      <c r="BB630" s="268"/>
      <c r="BC630" s="268"/>
    </row>
    <row r="631" spans="1:55" s="277" customFormat="1" ht="18" customHeight="1" x14ac:dyDescent="0.35">
      <c r="A631" s="274">
        <f>MATCH(B631,STUDIES!$A$3:$A$502,0)</f>
        <v>49</v>
      </c>
      <c r="B631" s="336" t="s">
        <v>862</v>
      </c>
      <c r="C631" s="461"/>
      <c r="D631" s="317" t="s">
        <v>148</v>
      </c>
      <c r="E631" s="272" t="s">
        <v>153</v>
      </c>
      <c r="F631" s="155" t="str">
        <f>_xlfn.XLOOKUP(B631,STUDIES!$A$3:$A$1063,STUDIES!$G$3:$G$1063,"Not Found!")</f>
        <v>A</v>
      </c>
      <c r="G631" s="273" t="s">
        <v>147</v>
      </c>
      <c r="H631" s="273">
        <v>16</v>
      </c>
      <c r="I631" s="273">
        <v>201</v>
      </c>
      <c r="J631" s="274"/>
      <c r="K631" s="268"/>
      <c r="L631" s="268"/>
      <c r="M631" s="268"/>
      <c r="N631" s="268"/>
      <c r="O631" s="268"/>
      <c r="P631" s="268"/>
      <c r="Q631" s="282" t="s">
        <v>90</v>
      </c>
      <c r="R631" s="283">
        <v>-3.7</v>
      </c>
      <c r="S631" s="268">
        <v>0.66</v>
      </c>
      <c r="T631" s="268"/>
      <c r="U631" s="268"/>
      <c r="V631" s="268"/>
      <c r="W631" s="268"/>
      <c r="X631" s="276"/>
      <c r="Y631" s="268"/>
      <c r="Z631" s="268"/>
      <c r="AA631" s="268"/>
      <c r="AB631" s="268"/>
      <c r="AC631" s="268"/>
      <c r="AD631" s="276"/>
      <c r="AE631" s="268"/>
      <c r="AF631" s="268"/>
      <c r="AG631" s="268"/>
      <c r="AH631" s="268"/>
      <c r="AI631" s="268"/>
      <c r="AJ631" s="276"/>
      <c r="AK631" s="268"/>
      <c r="AL631" s="268"/>
      <c r="AM631" s="268"/>
      <c r="AN631" s="268"/>
      <c r="AO631" s="275"/>
      <c r="AP631" s="268"/>
      <c r="AQ631" s="268"/>
      <c r="AR631" s="268"/>
      <c r="AS631" s="268"/>
      <c r="AT631" s="268"/>
      <c r="AU631" s="275"/>
      <c r="AV631" s="268"/>
      <c r="AW631" s="268"/>
      <c r="AX631" s="268"/>
      <c r="AY631" s="268"/>
      <c r="AZ631" s="268"/>
      <c r="BA631" s="268"/>
      <c r="BB631" s="268"/>
      <c r="BC631" s="268"/>
    </row>
    <row r="632" spans="1:55" s="277" customFormat="1" ht="18" customHeight="1" x14ac:dyDescent="0.35">
      <c r="A632" s="274">
        <f>MATCH(B632,STUDIES!$A$3:$A$502,0)</f>
        <v>49</v>
      </c>
      <c r="B632" s="336" t="s">
        <v>862</v>
      </c>
      <c r="C632" s="461"/>
      <c r="D632" s="317" t="s">
        <v>148</v>
      </c>
      <c r="E632" s="272" t="s">
        <v>695</v>
      </c>
      <c r="F632" s="155" t="str">
        <f>_xlfn.XLOOKUP(B632,STUDIES!$A$3:$A$1063,STUDIES!$G$3:$G$1063,"Not Found!")</f>
        <v>A</v>
      </c>
      <c r="G632" s="273" t="s">
        <v>147</v>
      </c>
      <c r="H632" s="273">
        <v>16</v>
      </c>
      <c r="I632" s="273">
        <v>201</v>
      </c>
      <c r="J632" s="274"/>
      <c r="K632" s="268"/>
      <c r="L632" s="268"/>
      <c r="M632" s="268"/>
      <c r="N632" s="268"/>
      <c r="O632" s="268"/>
      <c r="P632" s="268"/>
      <c r="Q632" s="282" t="s">
        <v>90</v>
      </c>
      <c r="R632" s="283">
        <v>-1.6</v>
      </c>
      <c r="S632" s="268">
        <v>0.21</v>
      </c>
      <c r="T632" s="268"/>
      <c r="U632" s="268"/>
      <c r="V632" s="268"/>
      <c r="W632" s="268"/>
      <c r="X632" s="276"/>
      <c r="Y632" s="268"/>
      <c r="Z632" s="268"/>
      <c r="AA632" s="268"/>
      <c r="AB632" s="268"/>
      <c r="AC632" s="268"/>
      <c r="AD632" s="276"/>
      <c r="AE632" s="268"/>
      <c r="AF632" s="268"/>
      <c r="AG632" s="268"/>
      <c r="AH632" s="268"/>
      <c r="AI632" s="268"/>
      <c r="AJ632" s="276"/>
      <c r="AK632" s="268"/>
      <c r="AL632" s="268"/>
      <c r="AM632" s="268"/>
      <c r="AN632" s="268"/>
      <c r="AO632" s="275"/>
      <c r="AP632" s="268"/>
      <c r="AQ632" s="268"/>
      <c r="AR632" s="268"/>
      <c r="AS632" s="268"/>
      <c r="AT632" s="268"/>
      <c r="AU632" s="275"/>
      <c r="AV632" s="268"/>
      <c r="AW632" s="268"/>
      <c r="AX632" s="268"/>
      <c r="AY632" s="268"/>
      <c r="AZ632" s="268"/>
      <c r="BA632" s="268"/>
      <c r="BB632" s="268"/>
      <c r="BC632" s="268"/>
    </row>
    <row r="633" spans="1:55" s="277" customFormat="1" ht="18" customHeight="1" x14ac:dyDescent="0.35">
      <c r="A633" s="274">
        <f>MATCH(B633,STUDIES!$A$3:$A$502,0)</f>
        <v>49</v>
      </c>
      <c r="B633" s="272" t="s">
        <v>862</v>
      </c>
      <c r="C633" s="435"/>
      <c r="D633" s="317" t="s">
        <v>1096</v>
      </c>
      <c r="E633" s="272" t="s">
        <v>154</v>
      </c>
      <c r="F633" s="155" t="str">
        <f>_xlfn.XLOOKUP(B633,STUDIES!$A$3:$A$1063,STUDIES!$G$3:$G$1063,"Not Found!")</f>
        <v>A</v>
      </c>
      <c r="G633" s="273" t="s">
        <v>147</v>
      </c>
      <c r="H633" s="273">
        <v>16</v>
      </c>
      <c r="I633" s="273">
        <v>591</v>
      </c>
      <c r="J633" s="274"/>
      <c r="K633" s="268"/>
      <c r="L633" s="268"/>
      <c r="M633" s="268"/>
      <c r="N633" s="268"/>
      <c r="O633" s="268"/>
      <c r="P633" s="268"/>
      <c r="Q633" s="282" t="s">
        <v>90</v>
      </c>
      <c r="R633" s="312">
        <v>-8.8000000000000007</v>
      </c>
      <c r="S633" s="294">
        <v>0.3</v>
      </c>
      <c r="T633" s="268"/>
      <c r="U633" s="268"/>
      <c r="V633" s="268"/>
      <c r="W633" s="268"/>
      <c r="X633" s="276"/>
      <c r="Y633" s="268"/>
      <c r="Z633" s="268"/>
      <c r="AA633" s="268"/>
      <c r="AB633" s="268"/>
      <c r="AC633" s="268"/>
      <c r="AD633" s="276"/>
      <c r="AE633" s="268"/>
      <c r="AF633" s="268"/>
      <c r="AG633" s="268"/>
      <c r="AH633" s="268"/>
      <c r="AI633" s="268"/>
      <c r="AJ633" s="276"/>
      <c r="AK633" s="268"/>
      <c r="AL633" s="268"/>
      <c r="AM633" s="268"/>
      <c r="AN633" s="268"/>
      <c r="AO633" s="275"/>
      <c r="AP633" s="268"/>
      <c r="AQ633" s="268"/>
      <c r="AR633" s="268"/>
      <c r="AS633" s="268"/>
      <c r="AT633" s="268"/>
      <c r="AU633" s="275"/>
      <c r="AV633" s="268"/>
      <c r="AW633" s="268"/>
      <c r="AX633" s="268"/>
      <c r="AY633" s="268"/>
      <c r="AZ633" s="268"/>
      <c r="BA633" s="268"/>
      <c r="BB633" s="268"/>
      <c r="BC633" s="268"/>
    </row>
    <row r="634" spans="1:55" s="277" customFormat="1" ht="18" customHeight="1" x14ac:dyDescent="0.35">
      <c r="A634" s="274">
        <f>MATCH(B634,STUDIES!$A$3:$A$502,0)</f>
        <v>49</v>
      </c>
      <c r="B634" s="272" t="s">
        <v>862</v>
      </c>
      <c r="C634" s="435"/>
      <c r="D634" s="317" t="s">
        <v>1096</v>
      </c>
      <c r="E634" s="272" t="s">
        <v>151</v>
      </c>
      <c r="F634" s="155" t="str">
        <f>_xlfn.XLOOKUP(B634,STUDIES!$A$3:$A$1063,STUDIES!$G$3:$G$1063,"Not Found!")</f>
        <v>A</v>
      </c>
      <c r="G634" s="273" t="s">
        <v>147</v>
      </c>
      <c r="H634" s="273">
        <v>16</v>
      </c>
      <c r="I634" s="273">
        <v>591</v>
      </c>
      <c r="J634" s="274"/>
      <c r="K634" s="268"/>
      <c r="L634" s="268"/>
      <c r="M634" s="268"/>
      <c r="N634" s="268"/>
      <c r="O634" s="268"/>
      <c r="P634" s="268"/>
      <c r="Q634" s="282" t="s">
        <v>90</v>
      </c>
      <c r="R634" s="283">
        <v>-16.899999999999999</v>
      </c>
      <c r="S634" s="268">
        <v>0.55000000000000004</v>
      </c>
      <c r="T634" s="268"/>
      <c r="U634" s="268"/>
      <c r="V634" s="268"/>
      <c r="W634" s="268"/>
      <c r="X634" s="276"/>
      <c r="Y634" s="268"/>
      <c r="Z634" s="268"/>
      <c r="AA634" s="268"/>
      <c r="AB634" s="268"/>
      <c r="AC634" s="268"/>
      <c r="AD634" s="276"/>
      <c r="AE634" s="268"/>
      <c r="AF634" s="268"/>
      <c r="AG634" s="268"/>
      <c r="AH634" s="268"/>
      <c r="AI634" s="268"/>
      <c r="AJ634" s="276"/>
      <c r="AK634" s="268"/>
      <c r="AL634" s="268"/>
      <c r="AM634" s="268"/>
      <c r="AN634" s="268"/>
      <c r="AO634" s="275"/>
      <c r="AP634" s="268"/>
      <c r="AQ634" s="268"/>
      <c r="AR634" s="268"/>
      <c r="AS634" s="268"/>
      <c r="AT634" s="268"/>
      <c r="AU634" s="275"/>
      <c r="AV634" s="268"/>
      <c r="AW634" s="268"/>
      <c r="AX634" s="268"/>
      <c r="AY634" s="268"/>
      <c r="AZ634" s="268"/>
      <c r="BA634" s="268"/>
      <c r="BB634" s="268"/>
      <c r="BC634" s="268"/>
    </row>
    <row r="635" spans="1:55" s="277" customFormat="1" ht="18" customHeight="1" x14ac:dyDescent="0.35">
      <c r="A635" s="274">
        <f>MATCH(B635,STUDIES!$A$3:$A$502,0)</f>
        <v>49</v>
      </c>
      <c r="B635" s="336" t="s">
        <v>862</v>
      </c>
      <c r="C635" s="461"/>
      <c r="D635" s="317" t="s">
        <v>1096</v>
      </c>
      <c r="E635" s="272" t="s">
        <v>153</v>
      </c>
      <c r="F635" s="155" t="str">
        <f>_xlfn.XLOOKUP(B635,STUDIES!$A$3:$A$1063,STUDIES!$G$3:$G$1063,"Not Found!")</f>
        <v>A</v>
      </c>
      <c r="G635" s="273" t="s">
        <v>147</v>
      </c>
      <c r="H635" s="273">
        <v>16</v>
      </c>
      <c r="I635" s="273">
        <v>591</v>
      </c>
      <c r="J635" s="274"/>
      <c r="K635" s="268"/>
      <c r="L635" s="268"/>
      <c r="M635" s="268"/>
      <c r="N635" s="268"/>
      <c r="O635" s="268"/>
      <c r="P635" s="268"/>
      <c r="Q635" s="282" t="s">
        <v>90</v>
      </c>
      <c r="R635" s="283">
        <v>-8.8000000000000007</v>
      </c>
      <c r="S635" s="268">
        <v>0.33</v>
      </c>
      <c r="T635" s="268"/>
      <c r="U635" s="268"/>
      <c r="V635" s="268"/>
      <c r="W635" s="268"/>
      <c r="X635" s="276"/>
      <c r="Y635" s="268"/>
      <c r="Z635" s="268"/>
      <c r="AA635" s="268"/>
      <c r="AB635" s="268"/>
      <c r="AC635" s="268"/>
      <c r="AD635" s="276"/>
      <c r="AE635" s="268"/>
      <c r="AF635" s="268"/>
      <c r="AG635" s="268"/>
      <c r="AH635" s="268"/>
      <c r="AI635" s="268"/>
      <c r="AJ635" s="276"/>
      <c r="AK635" s="268"/>
      <c r="AL635" s="268"/>
      <c r="AM635" s="268"/>
      <c r="AN635" s="268"/>
      <c r="AO635" s="275"/>
      <c r="AP635" s="268"/>
      <c r="AQ635" s="268"/>
      <c r="AR635" s="268"/>
      <c r="AS635" s="268"/>
      <c r="AT635" s="268"/>
      <c r="AU635" s="275"/>
      <c r="AV635" s="268"/>
      <c r="AW635" s="268"/>
      <c r="AX635" s="268"/>
      <c r="AY635" s="268"/>
      <c r="AZ635" s="268"/>
      <c r="BA635" s="268"/>
      <c r="BB635" s="268"/>
      <c r="BC635" s="268"/>
    </row>
    <row r="636" spans="1:55" s="277" customFormat="1" ht="18" customHeight="1" x14ac:dyDescent="0.35">
      <c r="A636" s="274">
        <f>MATCH(B636,STUDIES!$A$3:$A$502,0)</f>
        <v>49</v>
      </c>
      <c r="B636" s="336" t="s">
        <v>862</v>
      </c>
      <c r="C636" s="461"/>
      <c r="D636" s="317" t="s">
        <v>1096</v>
      </c>
      <c r="E636" s="272" t="s">
        <v>695</v>
      </c>
      <c r="F636" s="155" t="str">
        <f>_xlfn.XLOOKUP(B636,STUDIES!$A$3:$A$1063,STUDIES!$G$3:$G$1063,"Not Found!")</f>
        <v>A</v>
      </c>
      <c r="G636" s="273" t="s">
        <v>147</v>
      </c>
      <c r="H636" s="273">
        <v>16</v>
      </c>
      <c r="I636" s="273">
        <v>591</v>
      </c>
      <c r="J636" s="274"/>
      <c r="K636" s="268"/>
      <c r="L636" s="268"/>
      <c r="M636" s="268"/>
      <c r="N636" s="268"/>
      <c r="O636" s="268"/>
      <c r="P636" s="268"/>
      <c r="Q636" s="282" t="s">
        <v>90</v>
      </c>
      <c r="R636" s="283">
        <v>-2.9</v>
      </c>
      <c r="S636" s="268">
        <v>0.11</v>
      </c>
      <c r="T636" s="268"/>
      <c r="U636" s="268"/>
      <c r="V636" s="268"/>
      <c r="W636" s="268"/>
      <c r="X636" s="276"/>
      <c r="Y636" s="268"/>
      <c r="Z636" s="268"/>
      <c r="AA636" s="268"/>
      <c r="AB636" s="268"/>
      <c r="AC636" s="268"/>
      <c r="AD636" s="276"/>
      <c r="AE636" s="268"/>
      <c r="AF636" s="268"/>
      <c r="AG636" s="268"/>
      <c r="AH636" s="268"/>
      <c r="AI636" s="268"/>
      <c r="AJ636" s="276"/>
      <c r="AK636" s="268"/>
      <c r="AL636" s="268"/>
      <c r="AM636" s="268"/>
      <c r="AN636" s="268"/>
      <c r="AO636" s="275"/>
      <c r="AP636" s="268"/>
      <c r="AQ636" s="268"/>
      <c r="AR636" s="268"/>
      <c r="AS636" s="268"/>
      <c r="AT636" s="268"/>
      <c r="AU636" s="275"/>
      <c r="AV636" s="268"/>
      <c r="AW636" s="268"/>
      <c r="AX636" s="268"/>
      <c r="AY636" s="268"/>
      <c r="AZ636" s="268"/>
      <c r="BA636" s="268"/>
      <c r="BB636" s="268"/>
      <c r="BC636" s="268"/>
    </row>
    <row r="637" spans="1:55" s="277" customFormat="1" ht="18" customHeight="1" x14ac:dyDescent="0.35">
      <c r="A637" s="274">
        <f>MATCH(B637,STUDIES!$A$3:$A$502,0)</f>
        <v>49</v>
      </c>
      <c r="B637" s="272" t="s">
        <v>862</v>
      </c>
      <c r="C637" s="435"/>
      <c r="D637" s="281" t="s">
        <v>1096</v>
      </c>
      <c r="E637" s="272" t="s">
        <v>1163</v>
      </c>
      <c r="F637" s="155" t="str">
        <f>_xlfn.XLOOKUP(B637,STUDIES!$A$3:$A$1063,STUDIES!$G$3:$G$1063,"Not Found!")</f>
        <v>A</v>
      </c>
      <c r="G637" s="273" t="s">
        <v>147</v>
      </c>
      <c r="H637" s="273">
        <v>16</v>
      </c>
      <c r="I637" s="273">
        <v>592</v>
      </c>
      <c r="J637" s="274">
        <v>10</v>
      </c>
      <c r="K637" s="268"/>
      <c r="L637" s="268"/>
      <c r="M637" s="268"/>
      <c r="N637" s="268"/>
      <c r="O637" s="268"/>
      <c r="P637" s="268"/>
      <c r="Q637" s="282"/>
      <c r="R637" s="283"/>
      <c r="S637" s="268"/>
      <c r="T637" s="268"/>
      <c r="U637" s="268"/>
      <c r="V637" s="268"/>
      <c r="W637" s="268"/>
      <c r="X637" s="276"/>
      <c r="Y637" s="268"/>
      <c r="Z637" s="268"/>
      <c r="AA637" s="268"/>
      <c r="AB637" s="268"/>
      <c r="AC637" s="268"/>
      <c r="AD637" s="276"/>
      <c r="AE637" s="268"/>
      <c r="AF637" s="268"/>
      <c r="AG637" s="268"/>
      <c r="AH637" s="268"/>
      <c r="AI637" s="268"/>
      <c r="AJ637" s="276"/>
      <c r="AK637" s="268"/>
      <c r="AL637" s="268"/>
      <c r="AM637" s="268"/>
      <c r="AN637" s="268"/>
      <c r="AO637" s="275"/>
      <c r="AP637" s="268"/>
      <c r="AQ637" s="268"/>
      <c r="AR637" s="268"/>
      <c r="AS637" s="268"/>
      <c r="AT637" s="268"/>
      <c r="AU637" s="275"/>
      <c r="AV637" s="268"/>
      <c r="AW637" s="268"/>
      <c r="AX637" s="268"/>
      <c r="AY637" s="268"/>
      <c r="AZ637" s="268"/>
      <c r="BA637" s="268"/>
      <c r="BB637" s="268"/>
      <c r="BC637" s="268"/>
    </row>
    <row r="638" spans="1:55" s="277" customFormat="1" ht="18" customHeight="1" x14ac:dyDescent="0.35">
      <c r="A638" s="274">
        <f>MATCH(B638,STUDIES!$A$3:$A$502,0)</f>
        <v>49</v>
      </c>
      <c r="B638" s="272" t="s">
        <v>862</v>
      </c>
      <c r="C638" s="435"/>
      <c r="D638" s="281" t="s">
        <v>1096</v>
      </c>
      <c r="E638" s="272" t="s">
        <v>1167</v>
      </c>
      <c r="F638" s="155" t="str">
        <f>_xlfn.XLOOKUP(B638,STUDIES!$A$3:$A$1063,STUDIES!$G$3:$G$1063,"Not Found!")</f>
        <v>A</v>
      </c>
      <c r="G638" s="273" t="s">
        <v>147</v>
      </c>
      <c r="H638" s="273">
        <v>16</v>
      </c>
      <c r="I638" s="273">
        <v>592</v>
      </c>
      <c r="J638" s="274">
        <v>9</v>
      </c>
      <c r="K638" s="268"/>
      <c r="L638" s="268"/>
      <c r="M638" s="268"/>
      <c r="N638" s="268"/>
      <c r="O638" s="268"/>
      <c r="P638" s="268"/>
      <c r="Q638" s="282"/>
      <c r="R638" s="283"/>
      <c r="S638" s="268"/>
      <c r="T638" s="268"/>
      <c r="U638" s="268"/>
      <c r="V638" s="268"/>
      <c r="W638" s="268"/>
      <c r="X638" s="276"/>
      <c r="Y638" s="268"/>
      <c r="Z638" s="268"/>
      <c r="AA638" s="268"/>
      <c r="AB638" s="268"/>
      <c r="AC638" s="268"/>
      <c r="AD638" s="276"/>
      <c r="AE638" s="268"/>
      <c r="AF638" s="268"/>
      <c r="AG638" s="268"/>
      <c r="AH638" s="268"/>
      <c r="AI638" s="268"/>
      <c r="AJ638" s="276"/>
      <c r="AK638" s="268"/>
      <c r="AL638" s="268"/>
      <c r="AM638" s="268"/>
      <c r="AN638" s="268"/>
      <c r="AO638" s="275"/>
      <c r="AP638" s="268"/>
      <c r="AQ638" s="268"/>
      <c r="AR638" s="268"/>
      <c r="AS638" s="268"/>
      <c r="AT638" s="268"/>
      <c r="AU638" s="275"/>
      <c r="AV638" s="268"/>
      <c r="AW638" s="268"/>
      <c r="AX638" s="268"/>
      <c r="AY638" s="268"/>
      <c r="AZ638" s="268"/>
      <c r="BA638" s="268"/>
      <c r="BB638" s="268"/>
      <c r="BC638" s="268"/>
    </row>
    <row r="639" spans="1:55" s="277" customFormat="1" ht="18" customHeight="1" x14ac:dyDescent="0.35">
      <c r="A639" s="274">
        <f>MATCH(B639,STUDIES!$A$3:$A$502,0)</f>
        <v>49</v>
      </c>
      <c r="B639" s="272" t="s">
        <v>862</v>
      </c>
      <c r="C639" s="435"/>
      <c r="D639" s="281" t="s">
        <v>148</v>
      </c>
      <c r="E639" s="272" t="s">
        <v>1163</v>
      </c>
      <c r="F639" s="155" t="str">
        <f>_xlfn.XLOOKUP(B639,STUDIES!$A$3:$A$1063,STUDIES!$G$3:$G$1063,"Not Found!")</f>
        <v>A</v>
      </c>
      <c r="G639" s="273" t="s">
        <v>147</v>
      </c>
      <c r="H639" s="273">
        <v>16</v>
      </c>
      <c r="I639" s="273">
        <v>200</v>
      </c>
      <c r="J639" s="274">
        <v>5</v>
      </c>
      <c r="K639" s="268"/>
      <c r="L639" s="268"/>
      <c r="M639" s="268"/>
      <c r="N639" s="268"/>
      <c r="O639" s="268"/>
      <c r="P639" s="268"/>
      <c r="Q639" s="282"/>
      <c r="R639" s="283"/>
      <c r="S639" s="268"/>
      <c r="T639" s="268"/>
      <c r="U639" s="268"/>
      <c r="V639" s="268"/>
      <c r="W639" s="268"/>
      <c r="X639" s="276"/>
      <c r="Y639" s="268"/>
      <c r="Z639" s="268"/>
      <c r="AA639" s="268"/>
      <c r="AB639" s="268"/>
      <c r="AC639" s="268"/>
      <c r="AD639" s="276"/>
      <c r="AE639" s="268"/>
      <c r="AF639" s="268"/>
      <c r="AG639" s="268"/>
      <c r="AH639" s="268"/>
      <c r="AI639" s="268"/>
      <c r="AJ639" s="276"/>
      <c r="AK639" s="268"/>
      <c r="AL639" s="268"/>
      <c r="AM639" s="268"/>
      <c r="AN639" s="268"/>
      <c r="AO639" s="275"/>
      <c r="AP639" s="268"/>
      <c r="AQ639" s="268"/>
      <c r="AR639" s="268"/>
      <c r="AS639" s="268"/>
      <c r="AT639" s="268"/>
      <c r="AU639" s="275"/>
      <c r="AV639" s="268"/>
      <c r="AW639" s="268"/>
      <c r="AX639" s="268"/>
      <c r="AY639" s="268"/>
      <c r="AZ639" s="268"/>
      <c r="BA639" s="268"/>
      <c r="BB639" s="268"/>
      <c r="BC639" s="268"/>
    </row>
    <row r="640" spans="1:55" s="277" customFormat="1" ht="18" customHeight="1" x14ac:dyDescent="0.35">
      <c r="A640" s="274">
        <f>MATCH(B640,STUDIES!$A$3:$A$502,0)</f>
        <v>49</v>
      </c>
      <c r="B640" s="272" t="s">
        <v>862</v>
      </c>
      <c r="C640" s="435"/>
      <c r="D640" s="281" t="s">
        <v>148</v>
      </c>
      <c r="E640" s="272" t="s">
        <v>1167</v>
      </c>
      <c r="F640" s="155" t="str">
        <f>_xlfn.XLOOKUP(B640,STUDIES!$A$3:$A$1063,STUDIES!$G$3:$G$1063,"Not Found!")</f>
        <v>A</v>
      </c>
      <c r="G640" s="273" t="s">
        <v>147</v>
      </c>
      <c r="H640" s="273">
        <v>16</v>
      </c>
      <c r="I640" s="273">
        <v>200</v>
      </c>
      <c r="J640" s="274">
        <v>3</v>
      </c>
      <c r="K640" s="268"/>
      <c r="L640" s="268"/>
      <c r="M640" s="268"/>
      <c r="N640" s="268"/>
      <c r="O640" s="268"/>
      <c r="P640" s="268"/>
      <c r="Q640" s="282"/>
      <c r="R640" s="283"/>
      <c r="S640" s="268"/>
      <c r="T640" s="268"/>
      <c r="U640" s="268"/>
      <c r="V640" s="268"/>
      <c r="W640" s="268"/>
      <c r="X640" s="276"/>
      <c r="Y640" s="268"/>
      <c r="Z640" s="268"/>
      <c r="AA640" s="268"/>
      <c r="AB640" s="268"/>
      <c r="AC640" s="268"/>
      <c r="AD640" s="276"/>
      <c r="AE640" s="268"/>
      <c r="AF640" s="268"/>
      <c r="AG640" s="268"/>
      <c r="AH640" s="268"/>
      <c r="AI640" s="268"/>
      <c r="AJ640" s="276"/>
      <c r="AK640" s="268"/>
      <c r="AL640" s="268"/>
      <c r="AM640" s="268"/>
      <c r="AN640" s="268"/>
      <c r="AO640" s="275"/>
      <c r="AP640" s="268"/>
      <c r="AQ640" s="268"/>
      <c r="AR640" s="268"/>
      <c r="AS640" s="268"/>
      <c r="AT640" s="268"/>
      <c r="AU640" s="275"/>
      <c r="AV640" s="268"/>
      <c r="AW640" s="268"/>
      <c r="AX640" s="268"/>
      <c r="AY640" s="268"/>
      <c r="AZ640" s="268"/>
      <c r="BA640" s="268"/>
      <c r="BB640" s="268"/>
      <c r="BC640" s="268"/>
    </row>
    <row r="641" spans="1:55" s="277" customFormat="1" ht="18" customHeight="1" x14ac:dyDescent="0.35">
      <c r="A641" s="274">
        <f>MATCH(B641,STUDIES!$A$3:$A$502,0)</f>
        <v>50</v>
      </c>
      <c r="B641" s="270" t="s">
        <v>359</v>
      </c>
      <c r="C641" s="459"/>
      <c r="D641" s="278" t="s">
        <v>148</v>
      </c>
      <c r="E641" s="256" t="s">
        <v>154</v>
      </c>
      <c r="F641" s="155" t="str">
        <f>_xlfn.XLOOKUP(B641,STUDIES!$A$3:$A$1063,STUDIES!$G$3:$G$1063,"Not Found!")</f>
        <v>A</v>
      </c>
      <c r="G641" s="257" t="s">
        <v>147</v>
      </c>
      <c r="H641" s="257">
        <v>12</v>
      </c>
      <c r="I641" s="299">
        <v>39</v>
      </c>
      <c r="J641" s="300"/>
      <c r="K641" s="263">
        <v>13</v>
      </c>
      <c r="L641" s="259"/>
      <c r="M641" s="263">
        <v>7.9</v>
      </c>
      <c r="N641" s="259"/>
      <c r="O641" s="259"/>
      <c r="P641" s="259"/>
      <c r="Q641" s="290" t="s">
        <v>150</v>
      </c>
      <c r="R641" s="289"/>
      <c r="S641" s="259"/>
      <c r="T641" s="259"/>
      <c r="U641" s="259"/>
      <c r="V641" s="259"/>
      <c r="W641" s="259"/>
      <c r="X641" s="262">
        <v>7.6</v>
      </c>
      <c r="Y641" s="259"/>
      <c r="Z641" s="263">
        <v>6.2</v>
      </c>
      <c r="AA641" s="263"/>
      <c r="AB641" s="263"/>
      <c r="AC641" s="263"/>
      <c r="AD641" s="264"/>
      <c r="AE641" s="259"/>
      <c r="AF641" s="259"/>
      <c r="AG641" s="259"/>
      <c r="AH641" s="259"/>
      <c r="AI641" s="259"/>
      <c r="AJ641" s="265"/>
      <c r="AK641" s="266"/>
      <c r="AL641" s="266"/>
      <c r="AM641" s="266"/>
      <c r="AN641" s="266"/>
      <c r="AO641" s="267"/>
      <c r="AP641" s="266"/>
      <c r="AQ641" s="266"/>
      <c r="AR641" s="266"/>
      <c r="AS641" s="266"/>
      <c r="AT641" s="266"/>
      <c r="AU641" s="267"/>
      <c r="AV641" s="268"/>
      <c r="AW641" s="268"/>
      <c r="AX641" s="268"/>
      <c r="AY641" s="268"/>
      <c r="AZ641" s="268"/>
      <c r="BA641" s="268"/>
      <c r="BB641" s="268"/>
      <c r="BC641" s="268"/>
    </row>
    <row r="642" spans="1:55" s="277" customFormat="1" ht="18" customHeight="1" x14ac:dyDescent="0.35">
      <c r="A642" s="274">
        <f>MATCH(B642,STUDIES!$A$3:$A$502,0)</f>
        <v>50</v>
      </c>
      <c r="B642" s="270" t="s">
        <v>359</v>
      </c>
      <c r="C642" s="459"/>
      <c r="D642" s="269" t="s">
        <v>148</v>
      </c>
      <c r="E642" s="256" t="s">
        <v>151</v>
      </c>
      <c r="F642" s="155" t="str">
        <f>_xlfn.XLOOKUP(B642,STUDIES!$A$3:$A$1063,STUDIES!$G$3:$G$1063,"Not Found!")</f>
        <v>A</v>
      </c>
      <c r="G642" s="257" t="s">
        <v>147</v>
      </c>
      <c r="H642" s="257">
        <v>12</v>
      </c>
      <c r="I642" s="257">
        <v>51</v>
      </c>
      <c r="J642" s="258"/>
      <c r="K642" s="259"/>
      <c r="L642" s="259"/>
      <c r="M642" s="259"/>
      <c r="N642" s="259"/>
      <c r="O642" s="259"/>
      <c r="P642" s="259"/>
      <c r="Q642" s="279" t="s">
        <v>90</v>
      </c>
      <c r="R642" s="280">
        <v>-10.78</v>
      </c>
      <c r="S642" s="263">
        <v>1.4</v>
      </c>
      <c r="T642" s="259"/>
      <c r="U642" s="259"/>
      <c r="V642" s="259"/>
      <c r="W642" s="259"/>
      <c r="X642" s="264"/>
      <c r="Y642" s="259"/>
      <c r="Z642" s="259"/>
      <c r="AA642" s="259"/>
      <c r="AB642" s="259"/>
      <c r="AC642" s="259"/>
      <c r="AD642" s="264"/>
      <c r="AE642" s="259"/>
      <c r="AF642" s="259"/>
      <c r="AG642" s="259"/>
      <c r="AH642" s="259"/>
      <c r="AI642" s="259"/>
      <c r="AJ642" s="265"/>
      <c r="AK642" s="266"/>
      <c r="AL642" s="266"/>
      <c r="AM642" s="266"/>
      <c r="AN642" s="266"/>
      <c r="AO642" s="267"/>
      <c r="AP642" s="266"/>
      <c r="AQ642" s="266"/>
      <c r="AR642" s="266"/>
      <c r="AS642" s="266"/>
      <c r="AT642" s="266"/>
      <c r="AU642" s="267"/>
      <c r="AV642" s="268"/>
      <c r="AW642" s="268"/>
      <c r="AX642" s="268"/>
      <c r="AY642" s="268"/>
      <c r="AZ642" s="268"/>
      <c r="BA642" s="268"/>
      <c r="BB642" s="268"/>
      <c r="BC642" s="268"/>
    </row>
    <row r="643" spans="1:55" s="277" customFormat="1" ht="18" customHeight="1" x14ac:dyDescent="0.35">
      <c r="A643" s="274">
        <f>MATCH(B643,STUDIES!$A$3:$A$502,0)</f>
        <v>50</v>
      </c>
      <c r="B643" s="270" t="s">
        <v>359</v>
      </c>
      <c r="C643" s="459"/>
      <c r="D643" s="278" t="s">
        <v>148</v>
      </c>
      <c r="E643" s="256" t="s">
        <v>149</v>
      </c>
      <c r="F643" s="155" t="str">
        <f>_xlfn.XLOOKUP(B643,STUDIES!$A$3:$A$1063,STUDIES!$G$3:$G$1063,"Not Found!")</f>
        <v>A</v>
      </c>
      <c r="G643" s="257" t="s">
        <v>147</v>
      </c>
      <c r="H643" s="257">
        <v>12</v>
      </c>
      <c r="I643" s="257">
        <v>41</v>
      </c>
      <c r="J643" s="258"/>
      <c r="K643" s="259">
        <v>47.536999999999999</v>
      </c>
      <c r="L643" s="259"/>
      <c r="M643" s="259">
        <v>10.452</v>
      </c>
      <c r="N643" s="259"/>
      <c r="O643" s="259"/>
      <c r="P643" s="259"/>
      <c r="Q643" s="279" t="s">
        <v>150</v>
      </c>
      <c r="R643" s="289"/>
      <c r="S643" s="259"/>
      <c r="T643" s="259"/>
      <c r="U643" s="259"/>
      <c r="V643" s="259"/>
      <c r="W643" s="259"/>
      <c r="X643" s="264">
        <v>31.725000000000001</v>
      </c>
      <c r="Y643" s="259"/>
      <c r="Z643" s="259">
        <v>14.978999999999999</v>
      </c>
      <c r="AA643" s="259"/>
      <c r="AB643" s="259"/>
      <c r="AC643" s="259"/>
      <c r="AD643" s="264"/>
      <c r="AE643" s="259"/>
      <c r="AF643" s="259"/>
      <c r="AG643" s="259"/>
      <c r="AH643" s="259"/>
      <c r="AI643" s="259"/>
      <c r="AJ643" s="265"/>
      <c r="AK643" s="266"/>
      <c r="AL643" s="266"/>
      <c r="AM643" s="266"/>
      <c r="AN643" s="266"/>
      <c r="AO643" s="267"/>
      <c r="AP643" s="266"/>
      <c r="AQ643" s="266"/>
      <c r="AR643" s="266"/>
      <c r="AS643" s="266"/>
      <c r="AT643" s="266"/>
      <c r="AU643" s="267"/>
      <c r="AV643" s="268"/>
      <c r="AW643" s="268"/>
      <c r="AX643" s="268"/>
      <c r="AY643" s="268"/>
      <c r="AZ643" s="268"/>
      <c r="BA643" s="268"/>
      <c r="BB643" s="268"/>
      <c r="BC643" s="268"/>
    </row>
    <row r="644" spans="1:55" s="277" customFormat="1" ht="18" customHeight="1" x14ac:dyDescent="0.35">
      <c r="A644" s="274">
        <f>MATCH(B644,STUDIES!$A$3:$A$502,0)</f>
        <v>50</v>
      </c>
      <c r="B644" s="270" t="s">
        <v>359</v>
      </c>
      <c r="C644" s="459"/>
      <c r="D644" s="278" t="s">
        <v>148</v>
      </c>
      <c r="E644" s="270" t="s">
        <v>289</v>
      </c>
      <c r="F644" s="155" t="str">
        <f>_xlfn.XLOOKUP(B644,STUDIES!$A$3:$A$1063,STUDIES!$G$3:$G$1063,"Not Found!")</f>
        <v>A</v>
      </c>
      <c r="G644" s="257" t="s">
        <v>147</v>
      </c>
      <c r="H644" s="257">
        <v>12</v>
      </c>
      <c r="I644" s="257">
        <v>51</v>
      </c>
      <c r="J644" s="258"/>
      <c r="K644" s="259"/>
      <c r="L644" s="259"/>
      <c r="M644" s="259"/>
      <c r="N644" s="259"/>
      <c r="O644" s="259"/>
      <c r="P644" s="259"/>
      <c r="Q644" s="290" t="s">
        <v>90</v>
      </c>
      <c r="R644" s="280">
        <v>-1.03</v>
      </c>
      <c r="S644" s="263">
        <v>0.27</v>
      </c>
      <c r="T644" s="259"/>
      <c r="U644" s="259"/>
      <c r="V644" s="259"/>
      <c r="W644" s="259"/>
      <c r="X644" s="264"/>
      <c r="Y644" s="259"/>
      <c r="Z644" s="259"/>
      <c r="AA644" s="259"/>
      <c r="AB644" s="259"/>
      <c r="AC644" s="259"/>
      <c r="AD644" s="264"/>
      <c r="AE644" s="259"/>
      <c r="AF644" s="259"/>
      <c r="AG644" s="259"/>
      <c r="AH644" s="259"/>
      <c r="AI644" s="259"/>
      <c r="AJ644" s="265"/>
      <c r="AK644" s="266"/>
      <c r="AL644" s="266"/>
      <c r="AM644" s="266"/>
      <c r="AN644" s="266"/>
      <c r="AO644" s="267"/>
      <c r="AP644" s="266"/>
      <c r="AQ644" s="266"/>
      <c r="AR644" s="266"/>
      <c r="AS644" s="266"/>
      <c r="AT644" s="266"/>
      <c r="AU644" s="267"/>
      <c r="AV644" s="268"/>
      <c r="AW644" s="268"/>
      <c r="AX644" s="268"/>
      <c r="AY644" s="268"/>
      <c r="AZ644" s="268"/>
      <c r="BA644" s="268"/>
      <c r="BB644" s="268"/>
      <c r="BC644" s="268"/>
    </row>
    <row r="645" spans="1:55" s="277" customFormat="1" ht="18" customHeight="1" x14ac:dyDescent="0.35">
      <c r="A645" s="274">
        <f>MATCH(B645,STUDIES!$A$3:$A$502,0)</f>
        <v>50</v>
      </c>
      <c r="B645" s="270" t="s">
        <v>359</v>
      </c>
      <c r="C645" s="459"/>
      <c r="D645" s="278" t="s">
        <v>1094</v>
      </c>
      <c r="E645" s="256" t="s">
        <v>154</v>
      </c>
      <c r="F645" s="155" t="str">
        <f>_xlfn.XLOOKUP(B645,STUDIES!$A$3:$A$1063,STUDIES!$G$3:$G$1063,"Not Found!")</f>
        <v>A</v>
      </c>
      <c r="G645" s="257" t="s">
        <v>147</v>
      </c>
      <c r="H645" s="257">
        <v>12</v>
      </c>
      <c r="I645" s="299">
        <v>45</v>
      </c>
      <c r="J645" s="300"/>
      <c r="K645" s="263">
        <v>11.9</v>
      </c>
      <c r="L645" s="259"/>
      <c r="M645" s="263">
        <v>5.8</v>
      </c>
      <c r="N645" s="259"/>
      <c r="O645" s="259"/>
      <c r="P645" s="259"/>
      <c r="Q645" s="290" t="s">
        <v>150</v>
      </c>
      <c r="R645" s="289"/>
      <c r="S645" s="259"/>
      <c r="T645" s="259"/>
      <c r="U645" s="259"/>
      <c r="V645" s="259"/>
      <c r="W645" s="259"/>
      <c r="X645" s="262">
        <v>6.4</v>
      </c>
      <c r="Y645" s="259"/>
      <c r="Z645" s="263">
        <v>5.8</v>
      </c>
      <c r="AA645" s="263"/>
      <c r="AB645" s="263"/>
      <c r="AC645" s="263"/>
      <c r="AD645" s="264"/>
      <c r="AE645" s="259"/>
      <c r="AF645" s="259"/>
      <c r="AG645" s="259"/>
      <c r="AH645" s="259"/>
      <c r="AI645" s="259"/>
      <c r="AJ645" s="265"/>
      <c r="AK645" s="266"/>
      <c r="AL645" s="266"/>
      <c r="AM645" s="266"/>
      <c r="AN645" s="266"/>
      <c r="AO645" s="267"/>
      <c r="AP645" s="266"/>
      <c r="AQ645" s="266"/>
      <c r="AR645" s="266"/>
      <c r="AS645" s="266"/>
      <c r="AT645" s="266"/>
      <c r="AU645" s="267"/>
      <c r="AV645" s="268"/>
      <c r="AW645" s="268"/>
      <c r="AX645" s="268"/>
      <c r="AY645" s="268"/>
      <c r="AZ645" s="268"/>
      <c r="BA645" s="268"/>
      <c r="BB645" s="268"/>
      <c r="BC645" s="268"/>
    </row>
    <row r="646" spans="1:55" s="277" customFormat="1" ht="18" customHeight="1" x14ac:dyDescent="0.35">
      <c r="A646" s="274">
        <f>MATCH(B646,STUDIES!$A$3:$A$502,0)</f>
        <v>50</v>
      </c>
      <c r="B646" s="270" t="s">
        <v>359</v>
      </c>
      <c r="C646" s="459"/>
      <c r="D646" s="269" t="s">
        <v>1094</v>
      </c>
      <c r="E646" s="256" t="s">
        <v>151</v>
      </c>
      <c r="F646" s="155" t="str">
        <f>_xlfn.XLOOKUP(B646,STUDIES!$A$3:$A$1063,STUDIES!$G$3:$G$1063,"Not Found!")</f>
        <v>A</v>
      </c>
      <c r="G646" s="257" t="s">
        <v>147</v>
      </c>
      <c r="H646" s="257">
        <v>12</v>
      </c>
      <c r="I646" s="257">
        <v>51</v>
      </c>
      <c r="J646" s="258"/>
      <c r="K646" s="259"/>
      <c r="L646" s="259"/>
      <c r="M646" s="259"/>
      <c r="N646" s="259"/>
      <c r="O646" s="259"/>
      <c r="P646" s="259"/>
      <c r="Q646" s="279" t="s">
        <v>90</v>
      </c>
      <c r="R646" s="280">
        <v>-15.14</v>
      </c>
      <c r="S646" s="263">
        <v>1.36</v>
      </c>
      <c r="T646" s="259"/>
      <c r="U646" s="259"/>
      <c r="V646" s="259"/>
      <c r="W646" s="259"/>
      <c r="X646" s="264"/>
      <c r="Y646" s="259"/>
      <c r="Z646" s="259"/>
      <c r="AA646" s="259"/>
      <c r="AB646" s="259"/>
      <c r="AC646" s="259"/>
      <c r="AD646" s="264"/>
      <c r="AE646" s="259"/>
      <c r="AF646" s="259"/>
      <c r="AG646" s="259"/>
      <c r="AH646" s="259"/>
      <c r="AI646" s="259"/>
      <c r="AJ646" s="265"/>
      <c r="AK646" s="266"/>
      <c r="AL646" s="266"/>
      <c r="AM646" s="266"/>
      <c r="AN646" s="266"/>
      <c r="AO646" s="267"/>
      <c r="AP646" s="266"/>
      <c r="AQ646" s="266"/>
      <c r="AR646" s="266"/>
      <c r="AS646" s="266"/>
      <c r="AT646" s="266"/>
      <c r="AU646" s="267"/>
      <c r="AV646" s="268"/>
      <c r="AW646" s="268"/>
      <c r="AX646" s="268"/>
      <c r="AY646" s="268"/>
      <c r="AZ646" s="268"/>
      <c r="BA646" s="268"/>
      <c r="BB646" s="268"/>
      <c r="BC646" s="268"/>
    </row>
    <row r="647" spans="1:55" s="277" customFormat="1" ht="18" customHeight="1" x14ac:dyDescent="0.35">
      <c r="A647" s="274">
        <f>MATCH(B647,STUDIES!$A$3:$A$502,0)</f>
        <v>50</v>
      </c>
      <c r="B647" s="270" t="s">
        <v>359</v>
      </c>
      <c r="C647" s="459"/>
      <c r="D647" s="278" t="s">
        <v>1094</v>
      </c>
      <c r="E647" s="256" t="s">
        <v>149</v>
      </c>
      <c r="F647" s="155" t="str">
        <f>_xlfn.XLOOKUP(B647,STUDIES!$A$3:$A$1063,STUDIES!$G$3:$G$1063,"Not Found!")</f>
        <v>A</v>
      </c>
      <c r="G647" s="257" t="s">
        <v>147</v>
      </c>
      <c r="H647" s="257">
        <v>12</v>
      </c>
      <c r="I647" s="257">
        <v>47</v>
      </c>
      <c r="J647" s="258"/>
      <c r="K647" s="259">
        <v>49.095999999999997</v>
      </c>
      <c r="L647" s="259"/>
      <c r="M647" s="259">
        <v>9.8260000000000005</v>
      </c>
      <c r="N647" s="259"/>
      <c r="O647" s="259"/>
      <c r="P647" s="259"/>
      <c r="Q647" s="279" t="s">
        <v>150</v>
      </c>
      <c r="R647" s="289"/>
      <c r="S647" s="259"/>
      <c r="T647" s="259"/>
      <c r="U647" s="259"/>
      <c r="V647" s="259"/>
      <c r="W647" s="259"/>
      <c r="X647" s="264">
        <v>27.469000000000001</v>
      </c>
      <c r="Y647" s="259"/>
      <c r="Z647" s="259">
        <v>15.208</v>
      </c>
      <c r="AA647" s="259"/>
      <c r="AB647" s="259"/>
      <c r="AC647" s="259"/>
      <c r="AD647" s="264"/>
      <c r="AE647" s="259"/>
      <c r="AF647" s="259"/>
      <c r="AG647" s="259"/>
      <c r="AH647" s="259"/>
      <c r="AI647" s="259"/>
      <c r="AJ647" s="265"/>
      <c r="AK647" s="266"/>
      <c r="AL647" s="266"/>
      <c r="AM647" s="266"/>
      <c r="AN647" s="266"/>
      <c r="AO647" s="267"/>
      <c r="AP647" s="266"/>
      <c r="AQ647" s="266"/>
      <c r="AR647" s="266"/>
      <c r="AS647" s="266"/>
      <c r="AT647" s="266"/>
      <c r="AU647" s="267"/>
      <c r="AV647" s="268"/>
      <c r="AW647" s="268"/>
      <c r="AX647" s="268"/>
      <c r="AY647" s="268"/>
      <c r="AZ647" s="268"/>
      <c r="BA647" s="268"/>
      <c r="BB647" s="268"/>
      <c r="BC647" s="268"/>
    </row>
    <row r="648" spans="1:55" s="277" customFormat="1" ht="18" customHeight="1" x14ac:dyDescent="0.35">
      <c r="A648" s="274">
        <f>MATCH(B648,STUDIES!$A$3:$A$502,0)</f>
        <v>50</v>
      </c>
      <c r="B648" s="270" t="s">
        <v>359</v>
      </c>
      <c r="C648" s="459"/>
      <c r="D648" s="278" t="s">
        <v>1094</v>
      </c>
      <c r="E648" s="270" t="s">
        <v>289</v>
      </c>
      <c r="F648" s="155" t="str">
        <f>_xlfn.XLOOKUP(B648,STUDIES!$A$3:$A$1063,STUDIES!$G$3:$G$1063,"Not Found!")</f>
        <v>A</v>
      </c>
      <c r="G648" s="257" t="s">
        <v>147</v>
      </c>
      <c r="H648" s="257">
        <v>12</v>
      </c>
      <c r="I648" s="257">
        <v>51</v>
      </c>
      <c r="J648" s="258"/>
      <c r="K648" s="259"/>
      <c r="L648" s="259"/>
      <c r="M648" s="259"/>
      <c r="N648" s="259"/>
      <c r="O648" s="259"/>
      <c r="P648" s="259"/>
      <c r="Q648" s="290" t="s">
        <v>90</v>
      </c>
      <c r="R648" s="280">
        <v>-1.59</v>
      </c>
      <c r="S648" s="263">
        <v>0.26</v>
      </c>
      <c r="T648" s="259"/>
      <c r="U648" s="259"/>
      <c r="V648" s="259"/>
      <c r="W648" s="259"/>
      <c r="X648" s="264"/>
      <c r="Y648" s="259"/>
      <c r="Z648" s="259"/>
      <c r="AA648" s="259"/>
      <c r="AB648" s="259"/>
      <c r="AC648" s="259"/>
      <c r="AD648" s="264"/>
      <c r="AE648" s="259"/>
      <c r="AF648" s="259"/>
      <c r="AG648" s="259"/>
      <c r="AH648" s="259"/>
      <c r="AI648" s="259"/>
      <c r="AJ648" s="265"/>
      <c r="AK648" s="266"/>
      <c r="AL648" s="266"/>
      <c r="AM648" s="266"/>
      <c r="AN648" s="266"/>
      <c r="AO648" s="267"/>
      <c r="AP648" s="266"/>
      <c r="AQ648" s="266"/>
      <c r="AR648" s="266"/>
      <c r="AS648" s="266"/>
      <c r="AT648" s="266"/>
      <c r="AU648" s="267"/>
      <c r="AV648" s="268"/>
      <c r="AW648" s="268"/>
      <c r="AX648" s="268"/>
      <c r="AY648" s="268"/>
      <c r="AZ648" s="268"/>
      <c r="BA648" s="268"/>
      <c r="BB648" s="268"/>
      <c r="BC648" s="268"/>
    </row>
    <row r="649" spans="1:55" s="277" customFormat="1" ht="18" customHeight="1" x14ac:dyDescent="0.35">
      <c r="A649" s="274">
        <f>MATCH(B649,STUDIES!$A$3:$A$502,0)</f>
        <v>50</v>
      </c>
      <c r="B649" s="272" t="s">
        <v>359</v>
      </c>
      <c r="C649" s="435"/>
      <c r="D649" s="281" t="s">
        <v>1094</v>
      </c>
      <c r="E649" s="272" t="s">
        <v>1163</v>
      </c>
      <c r="F649" s="155" t="str">
        <f>_xlfn.XLOOKUP(B649,STUDIES!$A$3:$A$1063,STUDIES!$G$3:$G$1063,"Not Found!")</f>
        <v>A</v>
      </c>
      <c r="G649" s="273" t="s">
        <v>147</v>
      </c>
      <c r="H649" s="273">
        <v>12</v>
      </c>
      <c r="I649" s="273">
        <v>51</v>
      </c>
      <c r="J649" s="274">
        <v>2</v>
      </c>
      <c r="K649" s="268"/>
      <c r="L649" s="268"/>
      <c r="M649" s="268"/>
      <c r="N649" s="268"/>
      <c r="O649" s="268"/>
      <c r="P649" s="268"/>
      <c r="Q649" s="282"/>
      <c r="R649" s="283"/>
      <c r="S649" s="268"/>
      <c r="T649" s="268"/>
      <c r="U649" s="268"/>
      <c r="V649" s="268"/>
      <c r="W649" s="268"/>
      <c r="X649" s="276"/>
      <c r="Y649" s="268"/>
      <c r="Z649" s="268"/>
      <c r="AA649" s="268"/>
      <c r="AB649" s="268"/>
      <c r="AC649" s="268"/>
      <c r="AD649" s="276"/>
      <c r="AE649" s="268"/>
      <c r="AF649" s="268"/>
      <c r="AG649" s="268"/>
      <c r="AH649" s="268"/>
      <c r="AI649" s="268"/>
      <c r="AJ649" s="276"/>
      <c r="AK649" s="268"/>
      <c r="AL649" s="268"/>
      <c r="AM649" s="268"/>
      <c r="AN649" s="268"/>
      <c r="AO649" s="275"/>
      <c r="AP649" s="268"/>
      <c r="AQ649" s="268"/>
      <c r="AR649" s="268"/>
      <c r="AS649" s="268"/>
      <c r="AT649" s="268"/>
      <c r="AU649" s="275"/>
      <c r="AV649" s="268"/>
      <c r="AW649" s="268"/>
      <c r="AX649" s="268"/>
      <c r="AY649" s="268"/>
      <c r="AZ649" s="268"/>
      <c r="BA649" s="268"/>
      <c r="BB649" s="268"/>
      <c r="BC649" s="268"/>
    </row>
    <row r="650" spans="1:55" s="277" customFormat="1" ht="18" customHeight="1" x14ac:dyDescent="0.35">
      <c r="A650" s="274">
        <f>MATCH(B650,STUDIES!$A$3:$A$502,0)</f>
        <v>50</v>
      </c>
      <c r="B650" s="272" t="s">
        <v>359</v>
      </c>
      <c r="C650" s="435"/>
      <c r="D650" s="281" t="s">
        <v>1094</v>
      </c>
      <c r="E650" s="272" t="s">
        <v>1167</v>
      </c>
      <c r="F650" s="155" t="str">
        <f>_xlfn.XLOOKUP(B650,STUDIES!$A$3:$A$1063,STUDIES!$G$3:$G$1063,"Not Found!")</f>
        <v>A</v>
      </c>
      <c r="G650" s="273" t="s">
        <v>147</v>
      </c>
      <c r="H650" s="273">
        <v>12</v>
      </c>
      <c r="I650" s="273">
        <v>51</v>
      </c>
      <c r="J650" s="274">
        <v>3</v>
      </c>
      <c r="K650" s="268"/>
      <c r="L650" s="268"/>
      <c r="M650" s="268"/>
      <c r="N650" s="268"/>
      <c r="O650" s="268"/>
      <c r="P650" s="268"/>
      <c r="Q650" s="282"/>
      <c r="R650" s="283"/>
      <c r="S650" s="268"/>
      <c r="T650" s="268"/>
      <c r="U650" s="268"/>
      <c r="V650" s="268"/>
      <c r="W650" s="268"/>
      <c r="X650" s="276"/>
      <c r="Y650" s="268"/>
      <c r="Z650" s="268"/>
      <c r="AA650" s="268"/>
      <c r="AB650" s="268"/>
      <c r="AC650" s="268"/>
      <c r="AD650" s="276"/>
      <c r="AE650" s="268"/>
      <c r="AF650" s="268"/>
      <c r="AG650" s="268"/>
      <c r="AH650" s="268"/>
      <c r="AI650" s="268"/>
      <c r="AJ650" s="276"/>
      <c r="AK650" s="268"/>
      <c r="AL650" s="268"/>
      <c r="AM650" s="268"/>
      <c r="AN650" s="268"/>
      <c r="AO650" s="275"/>
      <c r="AP650" s="268"/>
      <c r="AQ650" s="268"/>
      <c r="AR650" s="268"/>
      <c r="AS650" s="268"/>
      <c r="AT650" s="268"/>
      <c r="AU650" s="275"/>
      <c r="AV650" s="268"/>
      <c r="AW650" s="268"/>
      <c r="AX650" s="268"/>
      <c r="AY650" s="268"/>
      <c r="AZ650" s="268"/>
      <c r="BA650" s="268"/>
      <c r="BB650" s="268"/>
      <c r="BC650" s="268"/>
    </row>
    <row r="651" spans="1:55" s="277" customFormat="1" ht="18" customHeight="1" x14ac:dyDescent="0.35">
      <c r="A651" s="274">
        <f>MATCH(B651,STUDIES!$A$3:$A$502,0)</f>
        <v>50</v>
      </c>
      <c r="B651" s="270" t="s">
        <v>359</v>
      </c>
      <c r="C651" s="459"/>
      <c r="D651" s="278" t="s">
        <v>1095</v>
      </c>
      <c r="E651" s="256" t="s">
        <v>154</v>
      </c>
      <c r="F651" s="155" t="str">
        <f>_xlfn.XLOOKUP(B651,STUDIES!$A$3:$A$1063,STUDIES!$G$3:$G$1063,"Not Found!")</f>
        <v>A</v>
      </c>
      <c r="G651" s="257" t="s">
        <v>147</v>
      </c>
      <c r="H651" s="257">
        <v>12</v>
      </c>
      <c r="I651" s="299">
        <v>46</v>
      </c>
      <c r="J651" s="300"/>
      <c r="K651" s="263">
        <v>13</v>
      </c>
      <c r="L651" s="259"/>
      <c r="M651" s="263">
        <v>6.8</v>
      </c>
      <c r="N651" s="259"/>
      <c r="O651" s="259"/>
      <c r="P651" s="259"/>
      <c r="Q651" s="290" t="s">
        <v>150</v>
      </c>
      <c r="R651" s="289"/>
      <c r="S651" s="259"/>
      <c r="T651" s="259"/>
      <c r="U651" s="259"/>
      <c r="V651" s="259"/>
      <c r="W651" s="259"/>
      <c r="X651" s="262">
        <v>5.8</v>
      </c>
      <c r="Y651" s="259"/>
      <c r="Z651" s="263">
        <v>5.5</v>
      </c>
      <c r="AA651" s="263"/>
      <c r="AB651" s="263"/>
      <c r="AC651" s="263"/>
      <c r="AD651" s="264"/>
      <c r="AE651" s="259"/>
      <c r="AF651" s="259"/>
      <c r="AG651" s="259"/>
      <c r="AH651" s="259"/>
      <c r="AI651" s="259"/>
      <c r="AJ651" s="265"/>
      <c r="AK651" s="266"/>
      <c r="AL651" s="266"/>
      <c r="AM651" s="266"/>
      <c r="AN651" s="266"/>
      <c r="AO651" s="267"/>
      <c r="AP651" s="266"/>
      <c r="AQ651" s="266"/>
      <c r="AR651" s="266"/>
      <c r="AS651" s="266"/>
      <c r="AT651" s="266"/>
      <c r="AU651" s="267"/>
      <c r="AV651" s="268"/>
      <c r="AW651" s="268"/>
      <c r="AX651" s="268"/>
      <c r="AY651" s="268"/>
      <c r="AZ651" s="268"/>
      <c r="BA651" s="268"/>
      <c r="BB651" s="268"/>
      <c r="BC651" s="268"/>
    </row>
    <row r="652" spans="1:55" s="277" customFormat="1" ht="18" customHeight="1" x14ac:dyDescent="0.35">
      <c r="A652" s="274">
        <f>MATCH(B652,STUDIES!$A$3:$A$502,0)</f>
        <v>50</v>
      </c>
      <c r="B652" s="270" t="s">
        <v>359</v>
      </c>
      <c r="C652" s="459"/>
      <c r="D652" s="269" t="s">
        <v>1095</v>
      </c>
      <c r="E652" s="256" t="s">
        <v>151</v>
      </c>
      <c r="F652" s="155" t="str">
        <f>_xlfn.XLOOKUP(B652,STUDIES!$A$3:$A$1063,STUDIES!$G$3:$G$1063,"Not Found!")</f>
        <v>A</v>
      </c>
      <c r="G652" s="257" t="s">
        <v>147</v>
      </c>
      <c r="H652" s="257">
        <v>12</v>
      </c>
      <c r="I652" s="257">
        <v>52</v>
      </c>
      <c r="J652" s="258"/>
      <c r="K652" s="259"/>
      <c r="L652" s="259"/>
      <c r="M652" s="259"/>
      <c r="N652" s="259"/>
      <c r="O652" s="259"/>
      <c r="P652" s="259"/>
      <c r="Q652" s="279" t="s">
        <v>90</v>
      </c>
      <c r="R652" s="280">
        <v>-15.72</v>
      </c>
      <c r="S652" s="263">
        <v>1.33</v>
      </c>
      <c r="T652" s="259"/>
      <c r="U652" s="259"/>
      <c r="V652" s="259"/>
      <c r="W652" s="259"/>
      <c r="X652" s="264"/>
      <c r="Y652" s="259"/>
      <c r="Z652" s="259"/>
      <c r="AA652" s="259"/>
      <c r="AB652" s="259"/>
      <c r="AC652" s="259"/>
      <c r="AD652" s="264"/>
      <c r="AE652" s="259"/>
      <c r="AF652" s="259"/>
      <c r="AG652" s="259"/>
      <c r="AH652" s="259"/>
      <c r="AI652" s="259"/>
      <c r="AJ652" s="265"/>
      <c r="AK652" s="266"/>
      <c r="AL652" s="266"/>
      <c r="AM652" s="266"/>
      <c r="AN652" s="266"/>
      <c r="AO652" s="267"/>
      <c r="AP652" s="266"/>
      <c r="AQ652" s="266"/>
      <c r="AR652" s="266"/>
      <c r="AS652" s="266"/>
      <c r="AT652" s="266"/>
      <c r="AU652" s="267"/>
      <c r="AV652" s="268"/>
      <c r="AW652" s="268"/>
      <c r="AX652" s="268"/>
      <c r="AY652" s="268"/>
      <c r="AZ652" s="268"/>
      <c r="BA652" s="268"/>
      <c r="BB652" s="268"/>
      <c r="BC652" s="268"/>
    </row>
    <row r="653" spans="1:55" s="277" customFormat="1" ht="18" customHeight="1" x14ac:dyDescent="0.35">
      <c r="A653" s="274">
        <f>MATCH(B653,STUDIES!$A$3:$A$502,0)</f>
        <v>50</v>
      </c>
      <c r="B653" s="270" t="s">
        <v>359</v>
      </c>
      <c r="C653" s="459"/>
      <c r="D653" s="278" t="s">
        <v>1095</v>
      </c>
      <c r="E653" s="256" t="s">
        <v>149</v>
      </c>
      <c r="F653" s="155" t="str">
        <f>_xlfn.XLOOKUP(B653,STUDIES!$A$3:$A$1063,STUDIES!$G$3:$G$1063,"Not Found!")</f>
        <v>A</v>
      </c>
      <c r="G653" s="257" t="s">
        <v>147</v>
      </c>
      <c r="H653" s="257">
        <v>12</v>
      </c>
      <c r="I653" s="257">
        <v>48</v>
      </c>
      <c r="J653" s="258"/>
      <c r="K653" s="259">
        <v>49.119</v>
      </c>
      <c r="L653" s="259"/>
      <c r="M653" s="259">
        <v>10.298999999999999</v>
      </c>
      <c r="N653" s="259"/>
      <c r="O653" s="259"/>
      <c r="P653" s="259"/>
      <c r="Q653" s="279" t="s">
        <v>150</v>
      </c>
      <c r="R653" s="289"/>
      <c r="S653" s="259"/>
      <c r="T653" s="259"/>
      <c r="U653" s="259"/>
      <c r="V653" s="259"/>
      <c r="W653" s="259"/>
      <c r="X653" s="264">
        <v>27.584</v>
      </c>
      <c r="Y653" s="259"/>
      <c r="Z653" s="259">
        <v>14.722</v>
      </c>
      <c r="AA653" s="259"/>
      <c r="AB653" s="259"/>
      <c r="AC653" s="259"/>
      <c r="AD653" s="264"/>
      <c r="AE653" s="259"/>
      <c r="AF653" s="259"/>
      <c r="AG653" s="259"/>
      <c r="AH653" s="259"/>
      <c r="AI653" s="259"/>
      <c r="AJ653" s="265"/>
      <c r="AK653" s="266"/>
      <c r="AL653" s="266"/>
      <c r="AM653" s="266"/>
      <c r="AN653" s="266"/>
      <c r="AO653" s="267"/>
      <c r="AP653" s="266"/>
      <c r="AQ653" s="266"/>
      <c r="AR653" s="266"/>
      <c r="AS653" s="266"/>
      <c r="AT653" s="266"/>
      <c r="AU653" s="267"/>
      <c r="AV653" s="268"/>
      <c r="AW653" s="268"/>
      <c r="AX653" s="268"/>
      <c r="AY653" s="268"/>
      <c r="AZ653" s="268"/>
      <c r="BA653" s="268"/>
      <c r="BB653" s="268"/>
      <c r="BC653" s="268"/>
    </row>
    <row r="654" spans="1:55" s="277" customFormat="1" ht="18" customHeight="1" x14ac:dyDescent="0.35">
      <c r="A654" s="274">
        <f>MATCH(B654,STUDIES!$A$3:$A$502,0)</f>
        <v>50</v>
      </c>
      <c r="B654" s="270" t="s">
        <v>359</v>
      </c>
      <c r="C654" s="459"/>
      <c r="D654" s="278" t="s">
        <v>1095</v>
      </c>
      <c r="E654" s="270" t="s">
        <v>289</v>
      </c>
      <c r="F654" s="155" t="str">
        <f>_xlfn.XLOOKUP(B654,STUDIES!$A$3:$A$1063,STUDIES!$G$3:$G$1063,"Not Found!")</f>
        <v>A</v>
      </c>
      <c r="G654" s="257" t="s">
        <v>147</v>
      </c>
      <c r="H654" s="257">
        <v>12</v>
      </c>
      <c r="I654" s="257">
        <v>52</v>
      </c>
      <c r="J654" s="258"/>
      <c r="K654" s="259"/>
      <c r="L654" s="259"/>
      <c r="M654" s="259"/>
      <c r="N654" s="259"/>
      <c r="O654" s="259"/>
      <c r="P654" s="259"/>
      <c r="Q654" s="290" t="s">
        <v>90</v>
      </c>
      <c r="R654" s="280">
        <v>-2.17</v>
      </c>
      <c r="S654" s="263">
        <v>0.25600000000000001</v>
      </c>
      <c r="T654" s="259"/>
      <c r="U654" s="259"/>
      <c r="V654" s="259"/>
      <c r="W654" s="259"/>
      <c r="X654" s="264"/>
      <c r="Y654" s="259"/>
      <c r="Z654" s="259"/>
      <c r="AA654" s="259"/>
      <c r="AB654" s="259"/>
      <c r="AC654" s="259"/>
      <c r="AD654" s="264"/>
      <c r="AE654" s="259"/>
      <c r="AF654" s="259"/>
      <c r="AG654" s="259"/>
      <c r="AH654" s="259"/>
      <c r="AI654" s="259"/>
      <c r="AJ654" s="265"/>
      <c r="AK654" s="266"/>
      <c r="AL654" s="266"/>
      <c r="AM654" s="266"/>
      <c r="AN654" s="266"/>
      <c r="AO654" s="267"/>
      <c r="AP654" s="266"/>
      <c r="AQ654" s="266"/>
      <c r="AR654" s="266"/>
      <c r="AS654" s="266"/>
      <c r="AT654" s="266"/>
      <c r="AU654" s="267"/>
      <c r="AV654" s="268"/>
      <c r="AW654" s="268"/>
      <c r="AX654" s="268"/>
      <c r="AY654" s="268"/>
      <c r="AZ654" s="268"/>
      <c r="BA654" s="268"/>
      <c r="BB654" s="268"/>
      <c r="BC654" s="268"/>
    </row>
    <row r="655" spans="1:55" s="277" customFormat="1" ht="18" customHeight="1" x14ac:dyDescent="0.35">
      <c r="A655" s="274">
        <f>MATCH(B655,STUDIES!$A$3:$A$502,0)</f>
        <v>50</v>
      </c>
      <c r="B655" s="272" t="s">
        <v>359</v>
      </c>
      <c r="C655" s="435"/>
      <c r="D655" s="281" t="s">
        <v>1095</v>
      </c>
      <c r="E655" s="272" t="s">
        <v>1163</v>
      </c>
      <c r="F655" s="155" t="str">
        <f>_xlfn.XLOOKUP(B655,STUDIES!$A$3:$A$1063,STUDIES!$G$3:$G$1063,"Not Found!")</f>
        <v>A</v>
      </c>
      <c r="G655" s="273" t="s">
        <v>147</v>
      </c>
      <c r="H655" s="273">
        <v>12</v>
      </c>
      <c r="I655" s="273">
        <v>52</v>
      </c>
      <c r="J655" s="274">
        <v>0</v>
      </c>
      <c r="K655" s="268"/>
      <c r="L655" s="268"/>
      <c r="M655" s="268"/>
      <c r="N655" s="268"/>
      <c r="O655" s="268"/>
      <c r="P655" s="268"/>
      <c r="Q655" s="282"/>
      <c r="R655" s="283"/>
      <c r="S655" s="268"/>
      <c r="T655" s="268"/>
      <c r="U655" s="268"/>
      <c r="V655" s="268"/>
      <c r="W655" s="268"/>
      <c r="X655" s="276"/>
      <c r="Y655" s="268"/>
      <c r="Z655" s="268"/>
      <c r="AA655" s="268"/>
      <c r="AB655" s="268"/>
      <c r="AC655" s="268"/>
      <c r="AD655" s="276"/>
      <c r="AE655" s="268"/>
      <c r="AF655" s="268"/>
      <c r="AG655" s="268"/>
      <c r="AH655" s="268"/>
      <c r="AI655" s="268"/>
      <c r="AJ655" s="276"/>
      <c r="AK655" s="268"/>
      <c r="AL655" s="268"/>
      <c r="AM655" s="268"/>
      <c r="AN655" s="268"/>
      <c r="AO655" s="275"/>
      <c r="AP655" s="268"/>
      <c r="AQ655" s="268"/>
      <c r="AR655" s="268"/>
      <c r="AS655" s="268"/>
      <c r="AT655" s="268"/>
      <c r="AU655" s="275"/>
      <c r="AV655" s="268"/>
      <c r="AW655" s="268"/>
      <c r="AX655" s="268"/>
      <c r="AY655" s="268"/>
      <c r="AZ655" s="268"/>
      <c r="BA655" s="268"/>
      <c r="BB655" s="268"/>
      <c r="BC655" s="268"/>
    </row>
    <row r="656" spans="1:55" s="277" customFormat="1" ht="18" customHeight="1" x14ac:dyDescent="0.35">
      <c r="A656" s="274">
        <f>MATCH(B656,STUDIES!$A$3:$A$502,0)</f>
        <v>50</v>
      </c>
      <c r="B656" s="272" t="s">
        <v>359</v>
      </c>
      <c r="C656" s="435"/>
      <c r="D656" s="281" t="s">
        <v>1095</v>
      </c>
      <c r="E656" s="272" t="s">
        <v>1167</v>
      </c>
      <c r="F656" s="155" t="str">
        <f>_xlfn.XLOOKUP(B656,STUDIES!$A$3:$A$1063,STUDIES!$G$3:$G$1063,"Not Found!")</f>
        <v>A</v>
      </c>
      <c r="G656" s="273" t="s">
        <v>147</v>
      </c>
      <c r="H656" s="273">
        <v>12</v>
      </c>
      <c r="I656" s="273">
        <v>52</v>
      </c>
      <c r="J656" s="274">
        <v>0</v>
      </c>
      <c r="K656" s="268"/>
      <c r="L656" s="268"/>
      <c r="M656" s="268"/>
      <c r="N656" s="268"/>
      <c r="O656" s="268"/>
      <c r="P656" s="268"/>
      <c r="Q656" s="282"/>
      <c r="R656" s="283"/>
      <c r="S656" s="268"/>
      <c r="T656" s="268"/>
      <c r="U656" s="268"/>
      <c r="V656" s="268"/>
      <c r="W656" s="268"/>
      <c r="X656" s="276"/>
      <c r="Y656" s="268"/>
      <c r="Z656" s="268"/>
      <c r="AA656" s="268"/>
      <c r="AB656" s="268"/>
      <c r="AC656" s="268"/>
      <c r="AD656" s="276"/>
      <c r="AE656" s="268"/>
      <c r="AF656" s="268"/>
      <c r="AG656" s="268"/>
      <c r="AH656" s="268"/>
      <c r="AI656" s="268"/>
      <c r="AJ656" s="276"/>
      <c r="AK656" s="268"/>
      <c r="AL656" s="268"/>
      <c r="AM656" s="268"/>
      <c r="AN656" s="268"/>
      <c r="AO656" s="275"/>
      <c r="AP656" s="268"/>
      <c r="AQ656" s="268"/>
      <c r="AR656" s="268"/>
      <c r="AS656" s="268"/>
      <c r="AT656" s="268"/>
      <c r="AU656" s="275"/>
      <c r="AV656" s="268"/>
      <c r="AW656" s="268"/>
      <c r="AX656" s="268"/>
      <c r="AY656" s="268"/>
      <c r="AZ656" s="268"/>
      <c r="BA656" s="268"/>
      <c r="BB656" s="268"/>
      <c r="BC656" s="268"/>
    </row>
    <row r="657" spans="1:55" s="277" customFormat="1" ht="18" customHeight="1" x14ac:dyDescent="0.35">
      <c r="A657" s="274">
        <f>MATCH(B657,STUDIES!$A$3:$A$502,0)</f>
        <v>50</v>
      </c>
      <c r="B657" s="270" t="s">
        <v>359</v>
      </c>
      <c r="C657" s="459"/>
      <c r="D657" s="278" t="s">
        <v>1097</v>
      </c>
      <c r="E657" s="256" t="s">
        <v>154</v>
      </c>
      <c r="F657" s="155" t="str">
        <f>_xlfn.XLOOKUP(B657,STUDIES!$A$3:$A$1063,STUDIES!$G$3:$G$1063,"Not Found!")</f>
        <v>A</v>
      </c>
      <c r="G657" s="257" t="s">
        <v>147</v>
      </c>
      <c r="H657" s="257">
        <v>12</v>
      </c>
      <c r="I657" s="299">
        <v>44</v>
      </c>
      <c r="J657" s="300"/>
      <c r="K657" s="263">
        <v>12.4</v>
      </c>
      <c r="L657" s="259"/>
      <c r="M657" s="263">
        <v>6.2</v>
      </c>
      <c r="N657" s="259"/>
      <c r="O657" s="259"/>
      <c r="P657" s="259"/>
      <c r="Q657" s="290" t="s">
        <v>150</v>
      </c>
      <c r="R657" s="289"/>
      <c r="S657" s="259"/>
      <c r="T657" s="259"/>
      <c r="U657" s="259"/>
      <c r="V657" s="259"/>
      <c r="W657" s="259"/>
      <c r="X657" s="262">
        <v>6.2</v>
      </c>
      <c r="Y657" s="259"/>
      <c r="Z657" s="263">
        <v>5.5</v>
      </c>
      <c r="AA657" s="263"/>
      <c r="AB657" s="263"/>
      <c r="AC657" s="263"/>
      <c r="AD657" s="264"/>
      <c r="AE657" s="259"/>
      <c r="AF657" s="259"/>
      <c r="AG657" s="259"/>
      <c r="AH657" s="259"/>
      <c r="AI657" s="259"/>
      <c r="AJ657" s="265"/>
      <c r="AK657" s="266"/>
      <c r="AL657" s="266"/>
      <c r="AM657" s="266"/>
      <c r="AN657" s="266"/>
      <c r="AO657" s="267"/>
      <c r="AP657" s="266"/>
      <c r="AQ657" s="266"/>
      <c r="AR657" s="266"/>
      <c r="AS657" s="266"/>
      <c r="AT657" s="266"/>
      <c r="AU657" s="267"/>
      <c r="AV657" s="268"/>
      <c r="AW657" s="268"/>
      <c r="AX657" s="268"/>
      <c r="AY657" s="268"/>
      <c r="AZ657" s="268"/>
      <c r="BA657" s="268"/>
      <c r="BB657" s="268"/>
      <c r="BC657" s="268"/>
    </row>
    <row r="658" spans="1:55" s="277" customFormat="1" ht="18" customHeight="1" x14ac:dyDescent="0.35">
      <c r="A658" s="274">
        <f>MATCH(B658,STUDIES!$A$3:$A$502,0)</f>
        <v>50</v>
      </c>
      <c r="B658" s="270" t="s">
        <v>359</v>
      </c>
      <c r="C658" s="459"/>
      <c r="D658" s="269" t="s">
        <v>1097</v>
      </c>
      <c r="E658" s="256" t="s">
        <v>151</v>
      </c>
      <c r="F658" s="155" t="str">
        <f>_xlfn.XLOOKUP(B658,STUDIES!$A$3:$A$1063,STUDIES!$G$3:$G$1063,"Not Found!")</f>
        <v>A</v>
      </c>
      <c r="G658" s="257" t="s">
        <v>147</v>
      </c>
      <c r="H658" s="257">
        <v>12</v>
      </c>
      <c r="I658" s="257">
        <v>50</v>
      </c>
      <c r="J658" s="258"/>
      <c r="K658" s="259"/>
      <c r="L658" s="259"/>
      <c r="M658" s="259"/>
      <c r="N658" s="259"/>
      <c r="O658" s="259"/>
      <c r="P658" s="259"/>
      <c r="Q658" s="279" t="s">
        <v>90</v>
      </c>
      <c r="R658" s="280">
        <v>-13.67</v>
      </c>
      <c r="S658" s="263">
        <v>1.39</v>
      </c>
      <c r="T658" s="259"/>
      <c r="U658" s="259"/>
      <c r="V658" s="259"/>
      <c r="W658" s="259"/>
      <c r="X658" s="264"/>
      <c r="Y658" s="259"/>
      <c r="Z658" s="259"/>
      <c r="AA658" s="259"/>
      <c r="AB658" s="259"/>
      <c r="AC658" s="259"/>
      <c r="AD658" s="264"/>
      <c r="AE658" s="259"/>
      <c r="AF658" s="259"/>
      <c r="AG658" s="259"/>
      <c r="AH658" s="259"/>
      <c r="AI658" s="259"/>
      <c r="AJ658" s="265"/>
      <c r="AK658" s="266"/>
      <c r="AL658" s="266"/>
      <c r="AM658" s="266"/>
      <c r="AN658" s="266"/>
      <c r="AO658" s="267"/>
      <c r="AP658" s="266"/>
      <c r="AQ658" s="266"/>
      <c r="AR658" s="266"/>
      <c r="AS658" s="266"/>
      <c r="AT658" s="266"/>
      <c r="AU658" s="267"/>
      <c r="AV658" s="268"/>
      <c r="AW658" s="268"/>
      <c r="AX658" s="268"/>
      <c r="AY658" s="268"/>
      <c r="AZ658" s="268"/>
      <c r="BA658" s="268"/>
      <c r="BB658" s="268"/>
      <c r="BC658" s="268"/>
    </row>
    <row r="659" spans="1:55" s="277" customFormat="1" ht="18" customHeight="1" x14ac:dyDescent="0.35">
      <c r="A659" s="274">
        <f>MATCH(B659,STUDIES!$A$3:$A$502,0)</f>
        <v>50</v>
      </c>
      <c r="B659" s="270" t="s">
        <v>359</v>
      </c>
      <c r="C659" s="459"/>
      <c r="D659" s="278" t="s">
        <v>1097</v>
      </c>
      <c r="E659" s="256" t="s">
        <v>149</v>
      </c>
      <c r="F659" s="155" t="str">
        <f>_xlfn.XLOOKUP(B659,STUDIES!$A$3:$A$1063,STUDIES!$G$3:$G$1063,"Not Found!")</f>
        <v>A</v>
      </c>
      <c r="G659" s="257" t="s">
        <v>147</v>
      </c>
      <c r="H659" s="257">
        <v>12</v>
      </c>
      <c r="I659" s="257">
        <v>45</v>
      </c>
      <c r="J659" s="258"/>
      <c r="K659" s="259">
        <v>46.244999999999997</v>
      </c>
      <c r="L659" s="259"/>
      <c r="M659" s="259">
        <v>10.225</v>
      </c>
      <c r="N659" s="259"/>
      <c r="O659" s="259"/>
      <c r="P659" s="259"/>
      <c r="Q659" s="279" t="s">
        <v>150</v>
      </c>
      <c r="R659" s="289"/>
      <c r="S659" s="259"/>
      <c r="T659" s="259"/>
      <c r="U659" s="259"/>
      <c r="V659" s="259"/>
      <c r="W659" s="259"/>
      <c r="X659" s="264">
        <v>28.762</v>
      </c>
      <c r="Y659" s="259"/>
      <c r="Z659" s="259">
        <v>13.906000000000001</v>
      </c>
      <c r="AA659" s="259"/>
      <c r="AB659" s="259"/>
      <c r="AC659" s="259"/>
      <c r="AD659" s="264"/>
      <c r="AE659" s="259"/>
      <c r="AF659" s="259"/>
      <c r="AG659" s="259"/>
      <c r="AH659" s="259"/>
      <c r="AI659" s="259"/>
      <c r="AJ659" s="265"/>
      <c r="AK659" s="266"/>
      <c r="AL659" s="266"/>
      <c r="AM659" s="266"/>
      <c r="AN659" s="266"/>
      <c r="AO659" s="267"/>
      <c r="AP659" s="266"/>
      <c r="AQ659" s="266"/>
      <c r="AR659" s="266"/>
      <c r="AS659" s="266"/>
      <c r="AT659" s="266"/>
      <c r="AU659" s="267"/>
      <c r="AV659" s="268"/>
      <c r="AW659" s="268"/>
      <c r="AX659" s="268"/>
      <c r="AY659" s="268"/>
      <c r="AZ659" s="268"/>
      <c r="BA659" s="268"/>
      <c r="BB659" s="268"/>
      <c r="BC659" s="268"/>
    </row>
    <row r="660" spans="1:55" s="277" customFormat="1" ht="18" customHeight="1" x14ac:dyDescent="0.35">
      <c r="A660" s="274">
        <f>MATCH(B660,STUDIES!$A$3:$A$502,0)</f>
        <v>50</v>
      </c>
      <c r="B660" s="270" t="s">
        <v>359</v>
      </c>
      <c r="C660" s="459"/>
      <c r="D660" s="278" t="s">
        <v>1097</v>
      </c>
      <c r="E660" s="270" t="s">
        <v>289</v>
      </c>
      <c r="F660" s="155" t="str">
        <f>_xlfn.XLOOKUP(B660,STUDIES!$A$3:$A$1063,STUDIES!$G$3:$G$1063,"Not Found!")</f>
        <v>A</v>
      </c>
      <c r="G660" s="257" t="s">
        <v>147</v>
      </c>
      <c r="H660" s="257">
        <v>12</v>
      </c>
      <c r="I660" s="257">
        <v>50</v>
      </c>
      <c r="J660" s="258"/>
      <c r="K660" s="259"/>
      <c r="L660" s="259"/>
      <c r="M660" s="259"/>
      <c r="N660" s="259"/>
      <c r="O660" s="259"/>
      <c r="P660" s="259"/>
      <c r="Q660" s="290" t="s">
        <v>90</v>
      </c>
      <c r="R660" s="280">
        <v>-1.8</v>
      </c>
      <c r="S660" s="263">
        <v>0.26600000000000001</v>
      </c>
      <c r="T660" s="259"/>
      <c r="U660" s="259"/>
      <c r="V660" s="259"/>
      <c r="W660" s="259"/>
      <c r="X660" s="264"/>
      <c r="Y660" s="259"/>
      <c r="Z660" s="259"/>
      <c r="AA660" s="259"/>
      <c r="AB660" s="259"/>
      <c r="AC660" s="259"/>
      <c r="AD660" s="264"/>
      <c r="AE660" s="259"/>
      <c r="AF660" s="259"/>
      <c r="AG660" s="259"/>
      <c r="AH660" s="259"/>
      <c r="AI660" s="259"/>
      <c r="AJ660" s="265"/>
      <c r="AK660" s="266"/>
      <c r="AL660" s="266"/>
      <c r="AM660" s="266"/>
      <c r="AN660" s="266"/>
      <c r="AO660" s="267"/>
      <c r="AP660" s="266"/>
      <c r="AQ660" s="266"/>
      <c r="AR660" s="266"/>
      <c r="AS660" s="266"/>
      <c r="AT660" s="266"/>
      <c r="AU660" s="267"/>
      <c r="AV660" s="268"/>
      <c r="AW660" s="268"/>
      <c r="AX660" s="268"/>
      <c r="AY660" s="268"/>
      <c r="AZ660" s="268"/>
      <c r="BA660" s="268"/>
      <c r="BB660" s="268"/>
      <c r="BC660" s="268"/>
    </row>
    <row r="661" spans="1:55" s="277" customFormat="1" ht="18" customHeight="1" x14ac:dyDescent="0.35">
      <c r="A661" s="274">
        <f>MATCH(B661,STUDIES!$A$3:$A$502,0)</f>
        <v>50</v>
      </c>
      <c r="B661" s="272" t="s">
        <v>359</v>
      </c>
      <c r="C661" s="435"/>
      <c r="D661" s="281" t="s">
        <v>1097</v>
      </c>
      <c r="E661" s="272" t="s">
        <v>1163</v>
      </c>
      <c r="F661" s="155" t="str">
        <f>_xlfn.XLOOKUP(B661,STUDIES!$A$3:$A$1063,STUDIES!$G$3:$G$1063,"Not Found!")</f>
        <v>A</v>
      </c>
      <c r="G661" s="273" t="s">
        <v>147</v>
      </c>
      <c r="H661" s="273">
        <v>12</v>
      </c>
      <c r="I661" s="273">
        <v>50</v>
      </c>
      <c r="J661" s="274">
        <v>3</v>
      </c>
      <c r="K661" s="268"/>
      <c r="L661" s="268"/>
      <c r="M661" s="268"/>
      <c r="N661" s="268"/>
      <c r="O661" s="268"/>
      <c r="P661" s="268"/>
      <c r="Q661" s="282"/>
      <c r="R661" s="283"/>
      <c r="S661" s="268"/>
      <c r="T661" s="268"/>
      <c r="U661" s="268"/>
      <c r="V661" s="268"/>
      <c r="W661" s="268"/>
      <c r="X661" s="276"/>
      <c r="Y661" s="268"/>
      <c r="Z661" s="268"/>
      <c r="AA661" s="268"/>
      <c r="AB661" s="268"/>
      <c r="AC661" s="268"/>
      <c r="AD661" s="276"/>
      <c r="AE661" s="268"/>
      <c r="AF661" s="268"/>
      <c r="AG661" s="268"/>
      <c r="AH661" s="268"/>
      <c r="AI661" s="268"/>
      <c r="AJ661" s="276"/>
      <c r="AK661" s="268"/>
      <c r="AL661" s="268"/>
      <c r="AM661" s="268"/>
      <c r="AN661" s="268"/>
      <c r="AO661" s="275"/>
      <c r="AP661" s="268"/>
      <c r="AQ661" s="268"/>
      <c r="AR661" s="268"/>
      <c r="AS661" s="268"/>
      <c r="AT661" s="268"/>
      <c r="AU661" s="275"/>
      <c r="AV661" s="268"/>
      <c r="AW661" s="268"/>
      <c r="AX661" s="268"/>
      <c r="AY661" s="268"/>
      <c r="AZ661" s="268"/>
      <c r="BA661" s="268"/>
      <c r="BB661" s="268"/>
      <c r="BC661" s="268"/>
    </row>
    <row r="662" spans="1:55" s="277" customFormat="1" ht="18" customHeight="1" x14ac:dyDescent="0.35">
      <c r="A662" s="274">
        <f>MATCH(B662,STUDIES!$A$3:$A$502,0)</f>
        <v>50</v>
      </c>
      <c r="B662" s="272" t="s">
        <v>359</v>
      </c>
      <c r="C662" s="435"/>
      <c r="D662" s="281" t="s">
        <v>1097</v>
      </c>
      <c r="E662" s="272" t="s">
        <v>1167</v>
      </c>
      <c r="F662" s="155" t="str">
        <f>_xlfn.XLOOKUP(B662,STUDIES!$A$3:$A$1063,STUDIES!$G$3:$G$1063,"Not Found!")</f>
        <v>A</v>
      </c>
      <c r="G662" s="273" t="s">
        <v>147</v>
      </c>
      <c r="H662" s="273">
        <v>12</v>
      </c>
      <c r="I662" s="273">
        <v>50</v>
      </c>
      <c r="J662" s="274">
        <v>2</v>
      </c>
      <c r="K662" s="268"/>
      <c r="L662" s="268"/>
      <c r="M662" s="268"/>
      <c r="N662" s="268"/>
      <c r="O662" s="268"/>
      <c r="P662" s="268"/>
      <c r="Q662" s="282"/>
      <c r="R662" s="283"/>
      <c r="S662" s="268"/>
      <c r="T662" s="268"/>
      <c r="U662" s="268"/>
      <c r="V662" s="268"/>
      <c r="W662" s="268"/>
      <c r="X662" s="276"/>
      <c r="Y662" s="268"/>
      <c r="Z662" s="268"/>
      <c r="AA662" s="268"/>
      <c r="AB662" s="268"/>
      <c r="AC662" s="268"/>
      <c r="AD662" s="276"/>
      <c r="AE662" s="268"/>
      <c r="AF662" s="268"/>
      <c r="AG662" s="268"/>
      <c r="AH662" s="268"/>
      <c r="AI662" s="268"/>
      <c r="AJ662" s="276"/>
      <c r="AK662" s="268"/>
      <c r="AL662" s="268"/>
      <c r="AM662" s="268"/>
      <c r="AN662" s="268"/>
      <c r="AO662" s="275"/>
      <c r="AP662" s="268"/>
      <c r="AQ662" s="268"/>
      <c r="AR662" s="268"/>
      <c r="AS662" s="268"/>
      <c r="AT662" s="268"/>
      <c r="AU662" s="275"/>
      <c r="AV662" s="268"/>
      <c r="AW662" s="268"/>
      <c r="AX662" s="268"/>
      <c r="AY662" s="268"/>
      <c r="AZ662" s="268"/>
      <c r="BA662" s="268"/>
      <c r="BB662" s="268"/>
      <c r="BC662" s="268"/>
    </row>
    <row r="663" spans="1:55" s="277" customFormat="1" ht="18" customHeight="1" x14ac:dyDescent="0.35">
      <c r="A663" s="274">
        <f>MATCH(B663,STUDIES!$A$3:$A$502,0)</f>
        <v>50</v>
      </c>
      <c r="B663" s="272" t="s">
        <v>359</v>
      </c>
      <c r="C663" s="435"/>
      <c r="D663" s="281" t="s">
        <v>148</v>
      </c>
      <c r="E663" s="272" t="s">
        <v>1163</v>
      </c>
      <c r="F663" s="155" t="str">
        <f>_xlfn.XLOOKUP(B663,STUDIES!$A$3:$A$1063,STUDIES!$G$3:$G$1063,"Not Found!")</f>
        <v>A</v>
      </c>
      <c r="G663" s="273" t="s">
        <v>147</v>
      </c>
      <c r="H663" s="273">
        <v>12</v>
      </c>
      <c r="I663" s="273">
        <v>51</v>
      </c>
      <c r="J663" s="274">
        <v>1</v>
      </c>
      <c r="K663" s="268"/>
      <c r="L663" s="268"/>
      <c r="M663" s="268"/>
      <c r="N663" s="268"/>
      <c r="O663" s="268"/>
      <c r="P663" s="268"/>
      <c r="Q663" s="282"/>
      <c r="R663" s="283"/>
      <c r="S663" s="268"/>
      <c r="T663" s="268"/>
      <c r="U663" s="268"/>
      <c r="V663" s="268"/>
      <c r="W663" s="268"/>
      <c r="X663" s="276"/>
      <c r="Y663" s="268"/>
      <c r="Z663" s="268"/>
      <c r="AA663" s="268"/>
      <c r="AB663" s="268"/>
      <c r="AC663" s="268"/>
      <c r="AD663" s="276"/>
      <c r="AE663" s="268"/>
      <c r="AF663" s="268"/>
      <c r="AG663" s="268"/>
      <c r="AH663" s="268"/>
      <c r="AI663" s="268"/>
      <c r="AJ663" s="276"/>
      <c r="AK663" s="268"/>
      <c r="AL663" s="268"/>
      <c r="AM663" s="268"/>
      <c r="AN663" s="268"/>
      <c r="AO663" s="275"/>
      <c r="AP663" s="268"/>
      <c r="AQ663" s="268"/>
      <c r="AR663" s="268"/>
      <c r="AS663" s="268"/>
      <c r="AT663" s="268"/>
      <c r="AU663" s="275"/>
      <c r="AV663" s="268"/>
      <c r="AW663" s="268"/>
      <c r="AX663" s="268"/>
      <c r="AY663" s="268"/>
      <c r="AZ663" s="268"/>
      <c r="BA663" s="268"/>
      <c r="BB663" s="268"/>
      <c r="BC663" s="268"/>
    </row>
    <row r="664" spans="1:55" s="277" customFormat="1" ht="18" customHeight="1" x14ac:dyDescent="0.35">
      <c r="A664" s="274">
        <f>MATCH(B664,STUDIES!$A$3:$A$502,0)</f>
        <v>50</v>
      </c>
      <c r="B664" s="272" t="s">
        <v>359</v>
      </c>
      <c r="C664" s="435"/>
      <c r="D664" s="281" t="s">
        <v>148</v>
      </c>
      <c r="E664" s="272" t="s">
        <v>1167</v>
      </c>
      <c r="F664" s="155" t="str">
        <f>_xlfn.XLOOKUP(B664,STUDIES!$A$3:$A$1063,STUDIES!$G$3:$G$1063,"Not Found!")</f>
        <v>A</v>
      </c>
      <c r="G664" s="273" t="s">
        <v>147</v>
      </c>
      <c r="H664" s="273">
        <v>12</v>
      </c>
      <c r="I664" s="273">
        <v>51</v>
      </c>
      <c r="J664" s="274">
        <v>5</v>
      </c>
      <c r="K664" s="268"/>
      <c r="L664" s="268"/>
      <c r="M664" s="268"/>
      <c r="N664" s="268"/>
      <c r="O664" s="268"/>
      <c r="P664" s="268"/>
      <c r="Q664" s="282"/>
      <c r="R664" s="283"/>
      <c r="S664" s="268"/>
      <c r="T664" s="268"/>
      <c r="U664" s="268"/>
      <c r="V664" s="268"/>
      <c r="W664" s="268"/>
      <c r="X664" s="276"/>
      <c r="Y664" s="268"/>
      <c r="Z664" s="268"/>
      <c r="AA664" s="268"/>
      <c r="AB664" s="268"/>
      <c r="AC664" s="268"/>
      <c r="AD664" s="276"/>
      <c r="AE664" s="268"/>
      <c r="AF664" s="268"/>
      <c r="AG664" s="268"/>
      <c r="AH664" s="268"/>
      <c r="AI664" s="268"/>
      <c r="AJ664" s="276"/>
      <c r="AK664" s="268"/>
      <c r="AL664" s="268"/>
      <c r="AM664" s="268"/>
      <c r="AN664" s="268"/>
      <c r="AO664" s="275"/>
      <c r="AP664" s="268"/>
      <c r="AQ664" s="268"/>
      <c r="AR664" s="268"/>
      <c r="AS664" s="268"/>
      <c r="AT664" s="268"/>
      <c r="AU664" s="275"/>
      <c r="AV664" s="268"/>
      <c r="AW664" s="268"/>
      <c r="AX664" s="268"/>
      <c r="AY664" s="268"/>
      <c r="AZ664" s="268"/>
      <c r="BA664" s="268"/>
      <c r="BB664" s="268"/>
      <c r="BC664" s="268"/>
    </row>
    <row r="665" spans="1:55" s="277" customFormat="1" ht="18" customHeight="1" x14ac:dyDescent="0.35">
      <c r="A665" s="274">
        <f>MATCH(B665,STUDIES!$A$3:$A$502,0)</f>
        <v>51</v>
      </c>
      <c r="B665" s="272" t="s">
        <v>1112</v>
      </c>
      <c r="C665" s="435"/>
      <c r="D665" s="281" t="s">
        <v>148</v>
      </c>
      <c r="E665" s="272" t="s">
        <v>1163</v>
      </c>
      <c r="F665" s="155" t="str">
        <f>_xlfn.XLOOKUP(B665,STUDIES!$A$3:$A$1063,STUDIES!$G$3:$G$1063,"Not Found!")</f>
        <v>A</v>
      </c>
      <c r="G665" s="273" t="s">
        <v>147</v>
      </c>
      <c r="H665" s="273">
        <v>16</v>
      </c>
      <c r="I665" s="273">
        <v>146</v>
      </c>
      <c r="J665" s="274">
        <v>3</v>
      </c>
      <c r="K665" s="268"/>
      <c r="L665" s="268"/>
      <c r="M665" s="268"/>
      <c r="N665" s="268"/>
      <c r="O665" s="268"/>
      <c r="P665" s="268"/>
      <c r="Q665" s="282"/>
      <c r="R665" s="283"/>
      <c r="S665" s="268"/>
      <c r="T665" s="268"/>
      <c r="U665" s="268"/>
      <c r="V665" s="268"/>
      <c r="W665" s="268"/>
      <c r="X665" s="276"/>
      <c r="Y665" s="268"/>
      <c r="Z665" s="268"/>
      <c r="AA665" s="268"/>
      <c r="AB665" s="268"/>
      <c r="AC665" s="268"/>
      <c r="AD665" s="276"/>
      <c r="AE665" s="268"/>
      <c r="AF665" s="268"/>
      <c r="AG665" s="268"/>
      <c r="AH665" s="268"/>
      <c r="AI665" s="268"/>
      <c r="AJ665" s="276"/>
      <c r="AK665" s="268"/>
      <c r="AL665" s="268"/>
      <c r="AM665" s="268"/>
      <c r="AN665" s="268"/>
      <c r="AO665" s="275"/>
      <c r="AP665" s="268"/>
      <c r="AQ665" s="268"/>
      <c r="AR665" s="268"/>
      <c r="AS665" s="268"/>
      <c r="AT665" s="268"/>
      <c r="AU665" s="275"/>
      <c r="AV665" s="268"/>
      <c r="AW665" s="268"/>
      <c r="AX665" s="268"/>
      <c r="AY665" s="268"/>
      <c r="AZ665" s="268"/>
      <c r="BA665" s="268"/>
      <c r="BB665" s="268"/>
      <c r="BC665" s="268"/>
    </row>
    <row r="666" spans="1:55" s="277" customFormat="1" ht="18" customHeight="1" x14ac:dyDescent="0.35">
      <c r="A666" s="274">
        <f>MATCH(B666,STUDIES!$A$3:$A$502,0)</f>
        <v>51</v>
      </c>
      <c r="B666" s="272" t="s">
        <v>1112</v>
      </c>
      <c r="C666" s="435"/>
      <c r="D666" s="281" t="s">
        <v>148</v>
      </c>
      <c r="E666" s="272" t="s">
        <v>1167</v>
      </c>
      <c r="F666" s="155" t="str">
        <f>_xlfn.XLOOKUP(B666,STUDIES!$A$3:$A$1063,STUDIES!$G$3:$G$1063,"Not Found!")</f>
        <v>A</v>
      </c>
      <c r="G666" s="273" t="s">
        <v>147</v>
      </c>
      <c r="H666" s="273">
        <v>16</v>
      </c>
      <c r="I666" s="273">
        <v>146</v>
      </c>
      <c r="J666" s="274">
        <v>4</v>
      </c>
      <c r="K666" s="268"/>
      <c r="L666" s="268"/>
      <c r="M666" s="268"/>
      <c r="N666" s="268"/>
      <c r="O666" s="268"/>
      <c r="P666" s="268"/>
      <c r="Q666" s="282"/>
      <c r="R666" s="283"/>
      <c r="S666" s="268"/>
      <c r="T666" s="268"/>
      <c r="U666" s="268"/>
      <c r="V666" s="268"/>
      <c r="W666" s="268"/>
      <c r="X666" s="276"/>
      <c r="Y666" s="268"/>
      <c r="Z666" s="268"/>
      <c r="AA666" s="268"/>
      <c r="AB666" s="268"/>
      <c r="AC666" s="268"/>
      <c r="AD666" s="276"/>
      <c r="AE666" s="268"/>
      <c r="AF666" s="268"/>
      <c r="AG666" s="268"/>
      <c r="AH666" s="268"/>
      <c r="AI666" s="268"/>
      <c r="AJ666" s="276"/>
      <c r="AK666" s="268"/>
      <c r="AL666" s="268"/>
      <c r="AM666" s="268"/>
      <c r="AN666" s="268"/>
      <c r="AO666" s="275"/>
      <c r="AP666" s="268"/>
      <c r="AQ666" s="268"/>
      <c r="AR666" s="268"/>
      <c r="AS666" s="268"/>
      <c r="AT666" s="268"/>
      <c r="AU666" s="275"/>
      <c r="AV666" s="268"/>
      <c r="AW666" s="268"/>
      <c r="AX666" s="268"/>
      <c r="AY666" s="268"/>
      <c r="AZ666" s="268"/>
      <c r="BA666" s="268"/>
      <c r="BB666" s="268"/>
      <c r="BC666" s="268"/>
    </row>
    <row r="667" spans="1:55" s="277" customFormat="1" ht="18" customHeight="1" x14ac:dyDescent="0.35">
      <c r="A667" s="274">
        <f>MATCH(B667,STUDIES!$A$3:$A$502,0)</f>
        <v>51</v>
      </c>
      <c r="B667" s="422" t="s">
        <v>1112</v>
      </c>
      <c r="C667" s="464"/>
      <c r="D667" s="311" t="s">
        <v>1042</v>
      </c>
      <c r="E667" s="272" t="s">
        <v>154</v>
      </c>
      <c r="F667" s="155" t="str">
        <f>_xlfn.XLOOKUP(B667,STUDIES!$A$3:$A$1063,STUDIES!$G$3:$G$1063,"Not Found!")</f>
        <v>A</v>
      </c>
      <c r="G667" s="257" t="s">
        <v>147</v>
      </c>
      <c r="H667" s="257">
        <v>16</v>
      </c>
      <c r="I667" s="423">
        <v>147</v>
      </c>
      <c r="J667" s="424"/>
      <c r="K667" s="268">
        <v>15</v>
      </c>
      <c r="L667" s="268"/>
      <c r="M667" s="268">
        <v>7</v>
      </c>
      <c r="N667" s="268"/>
      <c r="O667" s="268"/>
      <c r="P667" s="268"/>
      <c r="Q667" s="282" t="s">
        <v>90</v>
      </c>
      <c r="R667" s="283">
        <v>-5.47</v>
      </c>
      <c r="S667" s="268"/>
      <c r="T667" s="268"/>
      <c r="U667" s="268"/>
      <c r="V667" s="268"/>
      <c r="W667" s="268"/>
      <c r="X667" s="276"/>
      <c r="Y667" s="268"/>
      <c r="Z667" s="268"/>
      <c r="AA667" s="268"/>
      <c r="AB667" s="268"/>
      <c r="AC667" s="268"/>
      <c r="AD667" s="276">
        <v>-1.4999999999999996</v>
      </c>
      <c r="AE667" s="268"/>
      <c r="AF667" s="268"/>
      <c r="AG667" s="294">
        <v>-3.92</v>
      </c>
      <c r="AH667" s="268">
        <v>0.92</v>
      </c>
      <c r="AI667" s="268">
        <v>0.95</v>
      </c>
      <c r="AJ667" s="276"/>
      <c r="AK667" s="268"/>
      <c r="AL667" s="268"/>
      <c r="AM667" s="268"/>
      <c r="AN667" s="268"/>
      <c r="AO667" s="275"/>
      <c r="AP667" s="268"/>
      <c r="AQ667" s="268"/>
      <c r="AR667" s="268"/>
      <c r="AS667" s="268"/>
      <c r="AT667" s="268"/>
      <c r="AU667" s="275"/>
      <c r="AV667" s="268" t="s">
        <v>1148</v>
      </c>
      <c r="AW667" s="268"/>
      <c r="AX667" s="268"/>
      <c r="AY667" s="268"/>
      <c r="AZ667" s="268"/>
      <c r="BA667" s="268"/>
      <c r="BB667" s="268"/>
      <c r="BC667" s="268"/>
    </row>
    <row r="668" spans="1:55" s="277" customFormat="1" ht="18" customHeight="1" x14ac:dyDescent="0.35">
      <c r="A668" s="274">
        <f>MATCH(B668,STUDIES!$A$3:$A$502,0)</f>
        <v>51</v>
      </c>
      <c r="B668" s="422" t="s">
        <v>1112</v>
      </c>
      <c r="C668" s="464"/>
      <c r="D668" s="311" t="s">
        <v>1042</v>
      </c>
      <c r="E668" s="272" t="s">
        <v>151</v>
      </c>
      <c r="F668" s="155" t="str">
        <f>_xlfn.XLOOKUP(B668,STUDIES!$A$3:$A$1063,STUDIES!$G$3:$G$1063,"Not Found!")</f>
        <v>A</v>
      </c>
      <c r="G668" s="257" t="s">
        <v>147</v>
      </c>
      <c r="H668" s="257">
        <v>16</v>
      </c>
      <c r="I668" s="423">
        <v>147</v>
      </c>
      <c r="J668" s="424"/>
      <c r="K668" s="268">
        <v>27.7</v>
      </c>
      <c r="L668" s="268"/>
      <c r="M668" s="268">
        <v>12</v>
      </c>
      <c r="N668" s="268"/>
      <c r="O668" s="268"/>
      <c r="P668" s="268"/>
      <c r="Q668" s="282" t="s">
        <v>92</v>
      </c>
      <c r="R668" s="283"/>
      <c r="S668" s="268"/>
      <c r="T668" s="268"/>
      <c r="U668" s="268"/>
      <c r="V668" s="268"/>
      <c r="W668" s="268"/>
      <c r="X668" s="276"/>
      <c r="Y668" s="268"/>
      <c r="Z668" s="268"/>
      <c r="AA668" s="268"/>
      <c r="AB668" s="268"/>
      <c r="AC668" s="268"/>
      <c r="AD668" s="276"/>
      <c r="AE668" s="268"/>
      <c r="AF668" s="268"/>
      <c r="AG668" s="294"/>
      <c r="AH668" s="268"/>
      <c r="AI668" s="268"/>
      <c r="AJ668" s="276">
        <v>-46.66</v>
      </c>
      <c r="AK668" s="268"/>
      <c r="AL668" s="268"/>
      <c r="AM668" s="268"/>
      <c r="AN668" s="268"/>
      <c r="AO668" s="275"/>
      <c r="AP668" s="268">
        <v>-12.59</v>
      </c>
      <c r="AQ668" s="268"/>
      <c r="AR668" s="268"/>
      <c r="AS668" s="268">
        <v>-26.54</v>
      </c>
      <c r="AT668" s="268">
        <v>1.36</v>
      </c>
      <c r="AU668" s="275">
        <v>0.95</v>
      </c>
      <c r="AV668" s="268" t="s">
        <v>1145</v>
      </c>
      <c r="AW668" s="268"/>
      <c r="AX668" s="268"/>
      <c r="AY668" s="268"/>
      <c r="AZ668" s="268"/>
      <c r="BA668" s="268"/>
      <c r="BB668" s="268"/>
      <c r="BC668" s="268"/>
    </row>
    <row r="669" spans="1:55" s="277" customFormat="1" ht="18" customHeight="1" x14ac:dyDescent="0.35">
      <c r="A669" s="274">
        <f>MATCH(B669,STUDIES!$A$3:$A$502,0)</f>
        <v>51</v>
      </c>
      <c r="B669" s="422" t="s">
        <v>1112</v>
      </c>
      <c r="C669" s="464"/>
      <c r="D669" s="311" t="s">
        <v>1042</v>
      </c>
      <c r="E669" s="272" t="s">
        <v>153</v>
      </c>
      <c r="F669" s="155" t="str">
        <f>_xlfn.XLOOKUP(B669,STUDIES!$A$3:$A$1063,STUDIES!$G$3:$G$1063,"Not Found!")</f>
        <v>A</v>
      </c>
      <c r="G669" s="257" t="s">
        <v>147</v>
      </c>
      <c r="H669" s="257">
        <v>16</v>
      </c>
      <c r="I669" s="423">
        <v>147</v>
      </c>
      <c r="J669" s="424"/>
      <c r="K669" s="268"/>
      <c r="L669" s="268"/>
      <c r="M669" s="268"/>
      <c r="N669" s="268"/>
      <c r="O669" s="268"/>
      <c r="P669" s="268"/>
      <c r="Q669" s="282" t="s">
        <v>90</v>
      </c>
      <c r="R669" s="283">
        <v>-4.57</v>
      </c>
      <c r="S669" s="268"/>
      <c r="T669" s="268"/>
      <c r="U669" s="268"/>
      <c r="V669" s="268"/>
      <c r="W669" s="268"/>
      <c r="X669" s="276"/>
      <c r="Y669" s="268"/>
      <c r="Z669" s="268"/>
      <c r="AA669" s="268"/>
      <c r="AB669" s="268"/>
      <c r="AC669" s="268"/>
      <c r="AD669" s="276">
        <v>-1.9000000000000004</v>
      </c>
      <c r="AE669" s="268"/>
      <c r="AF669" s="268"/>
      <c r="AG669" s="294">
        <v>-4.93</v>
      </c>
      <c r="AH669" s="268">
        <v>1.1200000000000001</v>
      </c>
      <c r="AI669" s="268">
        <v>0.95</v>
      </c>
      <c r="AJ669" s="276"/>
      <c r="AK669" s="268"/>
      <c r="AL669" s="268"/>
      <c r="AM669" s="268"/>
      <c r="AN669" s="268"/>
      <c r="AO669" s="275"/>
      <c r="AP669" s="268"/>
      <c r="AQ669" s="268"/>
      <c r="AR669" s="268"/>
      <c r="AS669" s="268"/>
      <c r="AT669" s="268"/>
      <c r="AU669" s="275"/>
      <c r="AV669" s="268" t="s">
        <v>1146</v>
      </c>
      <c r="AW669" s="268"/>
      <c r="AX669" s="268"/>
      <c r="AY669" s="268"/>
      <c r="AZ669" s="268"/>
      <c r="BA669" s="268"/>
      <c r="BB669" s="268"/>
      <c r="BC669" s="268"/>
    </row>
    <row r="670" spans="1:55" s="277" customFormat="1" ht="18" customHeight="1" x14ac:dyDescent="0.35">
      <c r="A670" s="274">
        <f>MATCH(B670,STUDIES!$A$3:$A$502,0)</f>
        <v>51</v>
      </c>
      <c r="B670" s="422" t="s">
        <v>1112</v>
      </c>
      <c r="C670" s="464"/>
      <c r="D670" s="311" t="s">
        <v>1042</v>
      </c>
      <c r="E670" s="272" t="s">
        <v>695</v>
      </c>
      <c r="F670" s="155" t="str">
        <f>_xlfn.XLOOKUP(B670,STUDIES!$A$3:$A$1063,STUDIES!$G$3:$G$1063,"Not Found!")</f>
        <v>A</v>
      </c>
      <c r="G670" s="257" t="s">
        <v>147</v>
      </c>
      <c r="H670" s="257">
        <v>16</v>
      </c>
      <c r="I670" s="423">
        <v>147</v>
      </c>
      <c r="J670" s="424"/>
      <c r="K670" s="268">
        <v>7.2</v>
      </c>
      <c r="L670" s="268"/>
      <c r="M670" s="268">
        <v>2</v>
      </c>
      <c r="N670" s="268"/>
      <c r="O670" s="268"/>
      <c r="P670" s="268"/>
      <c r="Q670" s="282" t="s">
        <v>92</v>
      </c>
      <c r="R670" s="283">
        <v>-2.1800000000000002</v>
      </c>
      <c r="S670" s="268"/>
      <c r="T670" s="268"/>
      <c r="U670" s="268"/>
      <c r="V670" s="268"/>
      <c r="W670" s="268"/>
      <c r="X670" s="276"/>
      <c r="Y670" s="268"/>
      <c r="Z670" s="268"/>
      <c r="AA670" s="268"/>
      <c r="AB670" s="268"/>
      <c r="AC670" s="268"/>
      <c r="AD670" s="276">
        <v>-0.8600000000000001</v>
      </c>
      <c r="AE670" s="268"/>
      <c r="AF670" s="268"/>
      <c r="AG670" s="294">
        <v>-1.65</v>
      </c>
      <c r="AH670" s="268">
        <v>-7.0000000000000007E-2</v>
      </c>
      <c r="AI670" s="268">
        <v>0.95</v>
      </c>
      <c r="AJ670" s="276"/>
      <c r="AK670" s="268"/>
      <c r="AL670" s="268"/>
      <c r="AM670" s="268"/>
      <c r="AN670" s="268"/>
      <c r="AO670" s="275"/>
      <c r="AP670" s="268"/>
      <c r="AQ670" s="268"/>
      <c r="AR670" s="268"/>
      <c r="AS670" s="268"/>
      <c r="AT670" s="268"/>
      <c r="AU670" s="275"/>
      <c r="AV670" s="268" t="s">
        <v>1148</v>
      </c>
      <c r="AW670" s="268"/>
      <c r="AX670" s="268"/>
      <c r="AY670" s="268"/>
      <c r="AZ670" s="268"/>
      <c r="BA670" s="268"/>
      <c r="BB670" s="268"/>
      <c r="BC670" s="268"/>
    </row>
    <row r="671" spans="1:55" s="277" customFormat="1" ht="18" customHeight="1" x14ac:dyDescent="0.35">
      <c r="A671" s="274">
        <f>MATCH(B671,STUDIES!$A$3:$A$502,0)</f>
        <v>51</v>
      </c>
      <c r="B671" s="272" t="s">
        <v>1112</v>
      </c>
      <c r="C671" s="435"/>
      <c r="D671" s="281" t="s">
        <v>1042</v>
      </c>
      <c r="E671" s="272" t="s">
        <v>1163</v>
      </c>
      <c r="F671" s="155" t="str">
        <f>_xlfn.XLOOKUP(B671,STUDIES!$A$3:$A$1063,STUDIES!$G$3:$G$1063,"Not Found!")</f>
        <v>A</v>
      </c>
      <c r="G671" s="273" t="s">
        <v>147</v>
      </c>
      <c r="H671" s="273">
        <v>16</v>
      </c>
      <c r="I671" s="273">
        <v>147</v>
      </c>
      <c r="J671" s="274">
        <v>1</v>
      </c>
      <c r="K671" s="268"/>
      <c r="L671" s="268"/>
      <c r="M671" s="268"/>
      <c r="N671" s="268"/>
      <c r="O671" s="268"/>
      <c r="P671" s="268"/>
      <c r="Q671" s="282"/>
      <c r="R671" s="283"/>
      <c r="S671" s="268"/>
      <c r="T671" s="268"/>
      <c r="U671" s="268"/>
      <c r="V671" s="268"/>
      <c r="W671" s="268"/>
      <c r="X671" s="276"/>
      <c r="Y671" s="268"/>
      <c r="Z671" s="268"/>
      <c r="AA671" s="268"/>
      <c r="AB671" s="268"/>
      <c r="AC671" s="268"/>
      <c r="AD671" s="276"/>
      <c r="AE671" s="268"/>
      <c r="AF671" s="268"/>
      <c r="AG671" s="268"/>
      <c r="AH671" s="268"/>
      <c r="AI671" s="268"/>
      <c r="AJ671" s="276"/>
      <c r="AK671" s="268"/>
      <c r="AL671" s="268"/>
      <c r="AM671" s="268"/>
      <c r="AN671" s="268"/>
      <c r="AO671" s="275"/>
      <c r="AP671" s="268"/>
      <c r="AQ671" s="268"/>
      <c r="AR671" s="268"/>
      <c r="AS671" s="268"/>
      <c r="AT671" s="268"/>
      <c r="AU671" s="275"/>
      <c r="AV671" s="268"/>
      <c r="AW671" s="268"/>
      <c r="AX671" s="268"/>
      <c r="AY671" s="268"/>
      <c r="AZ671" s="268"/>
      <c r="BA671" s="268"/>
      <c r="BB671" s="268"/>
      <c r="BC671" s="268"/>
    </row>
    <row r="672" spans="1:55" s="277" customFormat="1" ht="18" customHeight="1" x14ac:dyDescent="0.35">
      <c r="A672" s="274">
        <f>MATCH(B672,STUDIES!$A$3:$A$502,0)</f>
        <v>51</v>
      </c>
      <c r="B672" s="272" t="s">
        <v>1112</v>
      </c>
      <c r="C672" s="435"/>
      <c r="D672" s="281" t="s">
        <v>1042</v>
      </c>
      <c r="E672" s="272" t="s">
        <v>1167</v>
      </c>
      <c r="F672" s="155" t="str">
        <f>_xlfn.XLOOKUP(B672,STUDIES!$A$3:$A$1063,STUDIES!$G$3:$G$1063,"Not Found!")</f>
        <v>A</v>
      </c>
      <c r="G672" s="273" t="s">
        <v>147</v>
      </c>
      <c r="H672" s="273">
        <v>16</v>
      </c>
      <c r="I672" s="273">
        <v>147</v>
      </c>
      <c r="J672" s="274">
        <v>4</v>
      </c>
      <c r="K672" s="268"/>
      <c r="L672" s="268"/>
      <c r="M672" s="268"/>
      <c r="N672" s="268"/>
      <c r="O672" s="268"/>
      <c r="P672" s="268"/>
      <c r="Q672" s="282"/>
      <c r="R672" s="283"/>
      <c r="S672" s="268"/>
      <c r="T672" s="268"/>
      <c r="U672" s="268"/>
      <c r="V672" s="268"/>
      <c r="W672" s="268"/>
      <c r="X672" s="276"/>
      <c r="Y672" s="268"/>
      <c r="Z672" s="268"/>
      <c r="AA672" s="268"/>
      <c r="AB672" s="268"/>
      <c r="AC672" s="268"/>
      <c r="AD672" s="276"/>
      <c r="AE672" s="268"/>
      <c r="AF672" s="268"/>
      <c r="AG672" s="268"/>
      <c r="AH672" s="268"/>
      <c r="AI672" s="268"/>
      <c r="AJ672" s="276"/>
      <c r="AK672" s="268"/>
      <c r="AL672" s="268"/>
      <c r="AM672" s="268"/>
      <c r="AN672" s="268"/>
      <c r="AO672" s="275"/>
      <c r="AP672" s="268"/>
      <c r="AQ672" s="268"/>
      <c r="AR672" s="268"/>
      <c r="AS672" s="268"/>
      <c r="AT672" s="268"/>
      <c r="AU672" s="275"/>
      <c r="AV672" s="268"/>
      <c r="AW672" s="268"/>
      <c r="AX672" s="268"/>
      <c r="AY672" s="268"/>
      <c r="AZ672" s="268"/>
      <c r="BA672" s="268"/>
      <c r="BB672" s="268"/>
      <c r="BC672" s="268"/>
    </row>
    <row r="673" spans="1:55" s="277" customFormat="1" ht="18" customHeight="1" x14ac:dyDescent="0.35">
      <c r="A673" s="274">
        <f>MATCH(B673,STUDIES!$A$3:$A$502,0)</f>
        <v>51</v>
      </c>
      <c r="B673" s="422" t="s">
        <v>1112</v>
      </c>
      <c r="C673" s="464"/>
      <c r="D673" s="311" t="s">
        <v>1043</v>
      </c>
      <c r="E673" s="272" t="s">
        <v>154</v>
      </c>
      <c r="F673" s="155" t="str">
        <f>_xlfn.XLOOKUP(B673,STUDIES!$A$3:$A$1063,STUDIES!$G$3:$G$1063,"Not Found!")</f>
        <v>A</v>
      </c>
      <c r="G673" s="257" t="s">
        <v>147</v>
      </c>
      <c r="H673" s="257">
        <v>16</v>
      </c>
      <c r="I673" s="423">
        <v>146</v>
      </c>
      <c r="J673" s="424"/>
      <c r="K673" s="268">
        <v>15</v>
      </c>
      <c r="L673" s="268"/>
      <c r="M673" s="268">
        <v>8</v>
      </c>
      <c r="N673" s="268"/>
      <c r="O673" s="268"/>
      <c r="P673" s="268"/>
      <c r="Q673" s="282" t="s">
        <v>90</v>
      </c>
      <c r="R673" s="283">
        <v>-7.46</v>
      </c>
      <c r="S673" s="268"/>
      <c r="T673" s="268"/>
      <c r="U673" s="268"/>
      <c r="V673" s="268"/>
      <c r="W673" s="268"/>
      <c r="X673" s="276"/>
      <c r="Y673" s="268"/>
      <c r="Z673" s="268"/>
      <c r="AA673" s="268"/>
      <c r="AB673" s="268"/>
      <c r="AC673" s="268"/>
      <c r="AD673" s="276">
        <v>-3.4899999999999998</v>
      </c>
      <c r="AE673" s="268"/>
      <c r="AF673" s="268"/>
      <c r="AG673" s="294">
        <v>-5.83</v>
      </c>
      <c r="AH673" s="268">
        <v>-1.1599999999999999</v>
      </c>
      <c r="AI673" s="268">
        <v>0.95</v>
      </c>
      <c r="AJ673" s="276"/>
      <c r="AK673" s="268"/>
      <c r="AL673" s="268"/>
      <c r="AM673" s="268"/>
      <c r="AN673" s="268"/>
      <c r="AO673" s="275"/>
      <c r="AP673" s="268"/>
      <c r="AQ673" s="268"/>
      <c r="AR673" s="268"/>
      <c r="AS673" s="268"/>
      <c r="AT673" s="268"/>
      <c r="AU673" s="275"/>
      <c r="AV673" s="268" t="s">
        <v>1148</v>
      </c>
      <c r="AW673" s="268"/>
      <c r="AX673" s="268"/>
      <c r="AY673" s="268"/>
      <c r="AZ673" s="268"/>
      <c r="BA673" s="268"/>
      <c r="BB673" s="268"/>
      <c r="BC673" s="268"/>
    </row>
    <row r="674" spans="1:55" s="277" customFormat="1" ht="18" customHeight="1" x14ac:dyDescent="0.35">
      <c r="A674" s="274">
        <f>MATCH(B674,STUDIES!$A$3:$A$502,0)</f>
        <v>51</v>
      </c>
      <c r="B674" s="422" t="s">
        <v>1112</v>
      </c>
      <c r="C674" s="464"/>
      <c r="D674" s="311" t="s">
        <v>1043</v>
      </c>
      <c r="E674" s="272" t="s">
        <v>151</v>
      </c>
      <c r="F674" s="155" t="str">
        <f>_xlfn.XLOOKUP(B674,STUDIES!$A$3:$A$1063,STUDIES!$G$3:$G$1063,"Not Found!")</f>
        <v>A</v>
      </c>
      <c r="G674" s="257" t="s">
        <v>147</v>
      </c>
      <c r="H674" s="257">
        <v>16</v>
      </c>
      <c r="I674" s="423">
        <v>146</v>
      </c>
      <c r="J674" s="424"/>
      <c r="K674" s="268">
        <v>26.6</v>
      </c>
      <c r="L674" s="268"/>
      <c r="M674" s="268">
        <v>11</v>
      </c>
      <c r="N674" s="268"/>
      <c r="O674" s="268"/>
      <c r="P674" s="268"/>
      <c r="Q674" s="282" t="s">
        <v>92</v>
      </c>
      <c r="R674" s="283"/>
      <c r="S674" s="268"/>
      <c r="T674" s="268"/>
      <c r="U674" s="268"/>
      <c r="V674" s="268"/>
      <c r="W674" s="268"/>
      <c r="X674" s="276"/>
      <c r="Y674" s="268"/>
      <c r="Z674" s="268"/>
      <c r="AA674" s="268"/>
      <c r="AB674" s="268"/>
      <c r="AC674" s="268"/>
      <c r="AD674" s="276"/>
      <c r="AE674" s="268"/>
      <c r="AF674" s="268"/>
      <c r="AG674" s="294"/>
      <c r="AH674" s="268"/>
      <c r="AI674" s="268"/>
      <c r="AJ674" s="276">
        <v>-54.37</v>
      </c>
      <c r="AK674" s="268"/>
      <c r="AL674" s="268"/>
      <c r="AM674" s="268"/>
      <c r="AN674" s="268"/>
      <c r="AO674" s="275"/>
      <c r="AP674" s="294">
        <v>-20.3</v>
      </c>
      <c r="AQ674" s="268"/>
      <c r="AR674" s="268"/>
      <c r="AS674" s="268">
        <v>-33.85</v>
      </c>
      <c r="AT674" s="268">
        <v>-6.75</v>
      </c>
      <c r="AU674" s="275">
        <v>0.95</v>
      </c>
      <c r="AV674" s="268" t="s">
        <v>1147</v>
      </c>
      <c r="AW674" s="268"/>
      <c r="AX674" s="268"/>
      <c r="AY674" s="268"/>
      <c r="AZ674" s="268"/>
      <c r="BA674" s="268"/>
      <c r="BB674" s="268"/>
      <c r="BC674" s="268"/>
    </row>
    <row r="675" spans="1:55" s="277" customFormat="1" ht="18" customHeight="1" x14ac:dyDescent="0.35">
      <c r="A675" s="274">
        <f>MATCH(B675,STUDIES!$A$3:$A$502,0)</f>
        <v>51</v>
      </c>
      <c r="B675" s="422" t="s">
        <v>1112</v>
      </c>
      <c r="C675" s="464"/>
      <c r="D675" s="311" t="s">
        <v>1043</v>
      </c>
      <c r="E675" s="272" t="s">
        <v>153</v>
      </c>
      <c r="F675" s="155" t="str">
        <f>_xlfn.XLOOKUP(B675,STUDIES!$A$3:$A$1063,STUDIES!$G$3:$G$1063,"Not Found!")</f>
        <v>A</v>
      </c>
      <c r="G675" s="257" t="s">
        <v>147</v>
      </c>
      <c r="H675" s="257">
        <v>16</v>
      </c>
      <c r="I675" s="423">
        <v>146</v>
      </c>
      <c r="J675" s="424"/>
      <c r="K675" s="268"/>
      <c r="L675" s="268"/>
      <c r="M675" s="268"/>
      <c r="N675" s="268"/>
      <c r="O675" s="268"/>
      <c r="P675" s="268"/>
      <c r="Q675" s="282" t="s">
        <v>90</v>
      </c>
      <c r="R675" s="283">
        <v>-7.44</v>
      </c>
      <c r="S675" s="268"/>
      <c r="T675" s="268"/>
      <c r="U675" s="268"/>
      <c r="V675" s="268"/>
      <c r="W675" s="268"/>
      <c r="X675" s="276"/>
      <c r="Y675" s="268"/>
      <c r="Z675" s="268"/>
      <c r="AA675" s="268"/>
      <c r="AB675" s="268"/>
      <c r="AC675" s="268"/>
      <c r="AD675" s="276">
        <v>-4.7700000000000005</v>
      </c>
      <c r="AE675" s="268"/>
      <c r="AF675" s="268"/>
      <c r="AG675" s="294">
        <v>-7.7</v>
      </c>
      <c r="AH675" s="268">
        <v>-1.84</v>
      </c>
      <c r="AI675" s="268">
        <v>0.95</v>
      </c>
      <c r="AJ675" s="276"/>
      <c r="AK675" s="268"/>
      <c r="AL675" s="268"/>
      <c r="AM675" s="268"/>
      <c r="AN675" s="268"/>
      <c r="AO675" s="275"/>
      <c r="AP675" s="268"/>
      <c r="AQ675" s="268"/>
      <c r="AR675" s="268"/>
      <c r="AS675" s="268"/>
      <c r="AT675" s="268"/>
      <c r="AU675" s="275"/>
      <c r="AV675" s="268" t="s">
        <v>1146</v>
      </c>
      <c r="AW675" s="268"/>
      <c r="AX675" s="268"/>
      <c r="AY675" s="268"/>
      <c r="AZ675" s="268"/>
      <c r="BA675" s="268"/>
      <c r="BB675" s="268"/>
      <c r="BC675" s="268"/>
    </row>
    <row r="676" spans="1:55" s="277" customFormat="1" ht="18" customHeight="1" x14ac:dyDescent="0.35">
      <c r="A676" s="274">
        <f>MATCH(B676,STUDIES!$A$3:$A$502,0)</f>
        <v>51</v>
      </c>
      <c r="B676" s="422" t="s">
        <v>1112</v>
      </c>
      <c r="C676" s="464"/>
      <c r="D676" s="311" t="s">
        <v>1043</v>
      </c>
      <c r="E676" s="272" t="s">
        <v>695</v>
      </c>
      <c r="F676" s="155" t="str">
        <f>_xlfn.XLOOKUP(B676,STUDIES!$A$3:$A$1063,STUDIES!$G$3:$G$1063,"Not Found!")</f>
        <v>A</v>
      </c>
      <c r="G676" s="257" t="s">
        <v>147</v>
      </c>
      <c r="H676" s="257">
        <v>16</v>
      </c>
      <c r="I676" s="423">
        <v>146</v>
      </c>
      <c r="J676" s="424"/>
      <c r="K676" s="268">
        <v>7.3</v>
      </c>
      <c r="L676" s="268"/>
      <c r="M676" s="268">
        <v>2.1</v>
      </c>
      <c r="N676" s="268"/>
      <c r="O676" s="268"/>
      <c r="P676" s="268"/>
      <c r="Q676" s="282" t="s">
        <v>92</v>
      </c>
      <c r="R676" s="283">
        <v>-2.72</v>
      </c>
      <c r="S676" s="268"/>
      <c r="T676" s="268"/>
      <c r="U676" s="268"/>
      <c r="V676" s="268"/>
      <c r="W676" s="268"/>
      <c r="X676" s="276"/>
      <c r="Y676" s="268"/>
      <c r="Z676" s="268"/>
      <c r="AA676" s="268"/>
      <c r="AB676" s="268"/>
      <c r="AC676" s="268"/>
      <c r="AD676" s="276">
        <v>-1.4000000000000001</v>
      </c>
      <c r="AE676" s="268"/>
      <c r="AF676" s="268"/>
      <c r="AG676" s="294">
        <v>-2.17</v>
      </c>
      <c r="AH676" s="268">
        <v>-0.62</v>
      </c>
      <c r="AI676" s="268">
        <v>0.95</v>
      </c>
      <c r="AJ676" s="276"/>
      <c r="AK676" s="268"/>
      <c r="AL676" s="268"/>
      <c r="AM676" s="268"/>
      <c r="AN676" s="268"/>
      <c r="AO676" s="275"/>
      <c r="AP676" s="268"/>
      <c r="AQ676" s="268"/>
      <c r="AR676" s="268"/>
      <c r="AS676" s="268"/>
      <c r="AT676" s="268"/>
      <c r="AU676" s="275"/>
      <c r="AV676" s="268" t="s">
        <v>1148</v>
      </c>
      <c r="AW676" s="268"/>
      <c r="AX676" s="268"/>
      <c r="AY676" s="268"/>
      <c r="AZ676" s="268"/>
      <c r="BA676" s="268"/>
      <c r="BB676" s="268"/>
      <c r="BC676" s="268"/>
    </row>
    <row r="677" spans="1:55" s="277" customFormat="1" ht="18" customHeight="1" x14ac:dyDescent="0.35">
      <c r="A677" s="274">
        <f>MATCH(B677,STUDIES!$A$3:$A$502,0)</f>
        <v>51</v>
      </c>
      <c r="B677" s="272" t="s">
        <v>1112</v>
      </c>
      <c r="C677" s="435"/>
      <c r="D677" s="281" t="s">
        <v>1043</v>
      </c>
      <c r="E677" s="272" t="s">
        <v>1163</v>
      </c>
      <c r="F677" s="155" t="str">
        <f>_xlfn.XLOOKUP(B677,STUDIES!$A$3:$A$1063,STUDIES!$G$3:$G$1063,"Not Found!")</f>
        <v>A</v>
      </c>
      <c r="G677" s="273" t="s">
        <v>147</v>
      </c>
      <c r="H677" s="273">
        <v>16</v>
      </c>
      <c r="I677" s="273">
        <v>145</v>
      </c>
      <c r="J677" s="274">
        <v>2</v>
      </c>
      <c r="K677" s="268"/>
      <c r="L677" s="268"/>
      <c r="M677" s="268"/>
      <c r="N677" s="268"/>
      <c r="O677" s="268"/>
      <c r="P677" s="268"/>
      <c r="Q677" s="282"/>
      <c r="R677" s="283"/>
      <c r="S677" s="268"/>
      <c r="T677" s="268"/>
      <c r="U677" s="268"/>
      <c r="V677" s="268"/>
      <c r="W677" s="268"/>
      <c r="X677" s="276"/>
      <c r="Y677" s="268"/>
      <c r="Z677" s="268"/>
      <c r="AA677" s="268"/>
      <c r="AB677" s="268"/>
      <c r="AC677" s="268"/>
      <c r="AD677" s="276"/>
      <c r="AE677" s="268"/>
      <c r="AF677" s="268"/>
      <c r="AG677" s="268"/>
      <c r="AH677" s="268"/>
      <c r="AI677" s="268"/>
      <c r="AJ677" s="276"/>
      <c r="AK677" s="268"/>
      <c r="AL677" s="268"/>
      <c r="AM677" s="268"/>
      <c r="AN677" s="268"/>
      <c r="AO677" s="275"/>
      <c r="AP677" s="268"/>
      <c r="AQ677" s="268"/>
      <c r="AR677" s="268"/>
      <c r="AS677" s="268"/>
      <c r="AT677" s="268"/>
      <c r="AU677" s="275"/>
      <c r="AV677" s="268"/>
      <c r="AW677" s="268"/>
      <c r="AX677" s="268"/>
      <c r="AY677" s="268"/>
      <c r="AZ677" s="268"/>
      <c r="BA677" s="268"/>
      <c r="BB677" s="268"/>
      <c r="BC677" s="268"/>
    </row>
    <row r="678" spans="1:55" s="277" customFormat="1" ht="18" customHeight="1" x14ac:dyDescent="0.35">
      <c r="A678" s="274">
        <f>MATCH(B678,STUDIES!$A$3:$A$502,0)</f>
        <v>51</v>
      </c>
      <c r="B678" s="272" t="s">
        <v>1112</v>
      </c>
      <c r="C678" s="435"/>
      <c r="D678" s="281" t="s">
        <v>1043</v>
      </c>
      <c r="E678" s="272" t="s">
        <v>1167</v>
      </c>
      <c r="F678" s="155" t="str">
        <f>_xlfn.XLOOKUP(B678,STUDIES!$A$3:$A$1063,STUDIES!$G$3:$G$1063,"Not Found!")</f>
        <v>A</v>
      </c>
      <c r="G678" s="273" t="s">
        <v>147</v>
      </c>
      <c r="H678" s="273">
        <v>16</v>
      </c>
      <c r="I678" s="273">
        <v>145</v>
      </c>
      <c r="J678" s="274">
        <v>4</v>
      </c>
      <c r="K678" s="268"/>
      <c r="L678" s="268"/>
      <c r="M678" s="268"/>
      <c r="N678" s="268"/>
      <c r="O678" s="268"/>
      <c r="P678" s="268"/>
      <c r="Q678" s="282"/>
      <c r="R678" s="283"/>
      <c r="S678" s="268"/>
      <c r="T678" s="268"/>
      <c r="U678" s="268"/>
      <c r="V678" s="268"/>
      <c r="W678" s="268"/>
      <c r="X678" s="276"/>
      <c r="Y678" s="268"/>
      <c r="Z678" s="268"/>
      <c r="AA678" s="268"/>
      <c r="AB678" s="268"/>
      <c r="AC678" s="268"/>
      <c r="AD678" s="276"/>
      <c r="AE678" s="268"/>
      <c r="AF678" s="268"/>
      <c r="AG678" s="268"/>
      <c r="AH678" s="268"/>
      <c r="AI678" s="268"/>
      <c r="AJ678" s="276"/>
      <c r="AK678" s="268"/>
      <c r="AL678" s="268"/>
      <c r="AM678" s="268"/>
      <c r="AN678" s="268"/>
      <c r="AO678" s="275"/>
      <c r="AP678" s="268"/>
      <c r="AQ678" s="268"/>
      <c r="AR678" s="268"/>
      <c r="AS678" s="268"/>
      <c r="AT678" s="268"/>
      <c r="AU678" s="275"/>
      <c r="AV678" s="268"/>
      <c r="AW678" s="268"/>
      <c r="AX678" s="268"/>
      <c r="AY678" s="268"/>
      <c r="AZ678" s="268"/>
      <c r="BA678" s="268"/>
      <c r="BB678" s="268"/>
      <c r="BC678" s="268"/>
    </row>
    <row r="679" spans="1:55" s="277" customFormat="1" ht="18" customHeight="1" x14ac:dyDescent="0.35">
      <c r="A679" s="274">
        <f>MATCH(B679,STUDIES!$A$3:$A$502,0)</f>
        <v>51</v>
      </c>
      <c r="B679" s="422" t="s">
        <v>1112</v>
      </c>
      <c r="C679" s="464"/>
      <c r="D679" s="311" t="s">
        <v>148</v>
      </c>
      <c r="E679" s="272" t="s">
        <v>154</v>
      </c>
      <c r="F679" s="155" t="str">
        <f>_xlfn.XLOOKUP(B679,STUDIES!$A$3:$A$1063,STUDIES!$G$3:$G$1063,"Not Found!")</f>
        <v>A</v>
      </c>
      <c r="G679" s="257" t="s">
        <v>147</v>
      </c>
      <c r="H679" s="257">
        <v>16</v>
      </c>
      <c r="I679" s="423">
        <v>147</v>
      </c>
      <c r="J679" s="424"/>
      <c r="K679" s="268">
        <v>15</v>
      </c>
      <c r="L679" s="268"/>
      <c r="M679" s="268">
        <v>7</v>
      </c>
      <c r="N679" s="268"/>
      <c r="O679" s="268"/>
      <c r="P679" s="268"/>
      <c r="Q679" s="282" t="s">
        <v>90</v>
      </c>
      <c r="R679" s="283">
        <v>-3.97</v>
      </c>
      <c r="S679" s="268"/>
      <c r="T679" s="268"/>
      <c r="U679" s="268"/>
      <c r="V679" s="268"/>
      <c r="W679" s="268"/>
      <c r="X679" s="276"/>
      <c r="Y679" s="268"/>
      <c r="Z679" s="268"/>
      <c r="AA679" s="268"/>
      <c r="AB679" s="268"/>
      <c r="AC679" s="268"/>
      <c r="AD679" s="276"/>
      <c r="AE679" s="268"/>
      <c r="AF679" s="268"/>
      <c r="AG679" s="294">
        <v>-4.875</v>
      </c>
      <c r="AH679" s="294">
        <v>-0.11999999999999994</v>
      </c>
      <c r="AI679" s="294">
        <v>0.95</v>
      </c>
      <c r="AJ679" s="276"/>
      <c r="AK679" s="268"/>
      <c r="AL679" s="268"/>
      <c r="AM679" s="268"/>
      <c r="AN679" s="268"/>
      <c r="AO679" s="275"/>
      <c r="AP679" s="268"/>
      <c r="AQ679" s="268"/>
      <c r="AR679" s="268"/>
      <c r="AS679" s="268"/>
      <c r="AT679" s="268"/>
      <c r="AU679" s="275"/>
      <c r="AV679" s="268" t="s">
        <v>1148</v>
      </c>
      <c r="AW679" s="268"/>
      <c r="AX679" s="268"/>
      <c r="AY679" s="268"/>
      <c r="AZ679" s="268"/>
      <c r="BA679" s="268"/>
      <c r="BB679" s="268"/>
      <c r="BC679" s="268"/>
    </row>
    <row r="680" spans="1:55" s="277" customFormat="1" ht="18" customHeight="1" x14ac:dyDescent="0.35">
      <c r="A680" s="274">
        <f>MATCH(B680,STUDIES!$A$3:$A$502,0)</f>
        <v>51</v>
      </c>
      <c r="B680" s="422" t="s">
        <v>1112</v>
      </c>
      <c r="C680" s="464"/>
      <c r="D680" s="311" t="s">
        <v>148</v>
      </c>
      <c r="E680" s="272" t="s">
        <v>151</v>
      </c>
      <c r="F680" s="155" t="str">
        <f>_xlfn.XLOOKUP(B680,STUDIES!$A$3:$A$1063,STUDIES!$G$3:$G$1063,"Not Found!")</f>
        <v>A</v>
      </c>
      <c r="G680" s="257" t="s">
        <v>147</v>
      </c>
      <c r="H680" s="257">
        <v>16</v>
      </c>
      <c r="I680" s="423">
        <v>147</v>
      </c>
      <c r="J680" s="424"/>
      <c r="K680" s="268">
        <v>27</v>
      </c>
      <c r="L680" s="268"/>
      <c r="M680" s="268">
        <v>11</v>
      </c>
      <c r="N680" s="268"/>
      <c r="O680" s="268"/>
      <c r="P680" s="268"/>
      <c r="Q680" s="282" t="s">
        <v>92</v>
      </c>
      <c r="R680" s="283"/>
      <c r="S680" s="268"/>
      <c r="T680" s="268"/>
      <c r="U680" s="268"/>
      <c r="V680" s="268"/>
      <c r="W680" s="268"/>
      <c r="X680" s="276"/>
      <c r="Y680" s="268"/>
      <c r="Z680" s="268"/>
      <c r="AA680" s="268"/>
      <c r="AB680" s="268"/>
      <c r="AC680" s="268"/>
      <c r="AD680" s="276"/>
      <c r="AE680" s="268"/>
      <c r="AF680" s="268"/>
      <c r="AG680" s="294"/>
      <c r="AH680" s="268"/>
      <c r="AI680" s="268"/>
      <c r="AJ680" s="276">
        <v>-34.07</v>
      </c>
      <c r="AK680" s="268"/>
      <c r="AL680" s="268"/>
      <c r="AM680" s="268"/>
      <c r="AN680" s="268"/>
      <c r="AO680" s="275"/>
      <c r="AP680" s="268"/>
      <c r="AQ680" s="268"/>
      <c r="AR680" s="268"/>
      <c r="AS680" s="268">
        <v>-30.195</v>
      </c>
      <c r="AT680" s="268">
        <v>-2.6949999999999998</v>
      </c>
      <c r="AU680" s="275">
        <v>0.95</v>
      </c>
      <c r="AV680" s="268" t="s">
        <v>1169</v>
      </c>
      <c r="AW680" s="268"/>
      <c r="AX680" s="268"/>
      <c r="AY680" s="268"/>
      <c r="AZ680" s="268"/>
      <c r="BA680" s="268"/>
      <c r="BB680" s="268"/>
      <c r="BC680" s="268"/>
    </row>
    <row r="681" spans="1:55" s="277" customFormat="1" ht="18" customHeight="1" x14ac:dyDescent="0.35">
      <c r="A681" s="274">
        <f>MATCH(B681,STUDIES!$A$3:$A$502,0)</f>
        <v>51</v>
      </c>
      <c r="B681" s="422" t="s">
        <v>1112</v>
      </c>
      <c r="C681" s="464"/>
      <c r="D681" s="311" t="s">
        <v>148</v>
      </c>
      <c r="E681" s="272" t="s">
        <v>153</v>
      </c>
      <c r="F681" s="155" t="str">
        <f>_xlfn.XLOOKUP(B681,STUDIES!$A$3:$A$1063,STUDIES!$G$3:$G$1063,"Not Found!")</f>
        <v>A</v>
      </c>
      <c r="G681" s="257" t="s">
        <v>147</v>
      </c>
      <c r="H681" s="257">
        <v>16</v>
      </c>
      <c r="I681" s="423">
        <v>147</v>
      </c>
      <c r="J681" s="424"/>
      <c r="K681" s="268"/>
      <c r="L681" s="268"/>
      <c r="M681" s="268"/>
      <c r="N681" s="268"/>
      <c r="O681" s="268"/>
      <c r="P681" s="268"/>
      <c r="Q681" s="282" t="s">
        <v>90</v>
      </c>
      <c r="R681" s="283">
        <v>-2.67</v>
      </c>
      <c r="S681" s="268"/>
      <c r="T681" s="268"/>
      <c r="U681" s="268"/>
      <c r="V681" s="268"/>
      <c r="W681" s="268"/>
      <c r="X681" s="276"/>
      <c r="Y681" s="268"/>
      <c r="Z681" s="268"/>
      <c r="AA681" s="268"/>
      <c r="AB681" s="268"/>
      <c r="AC681" s="268"/>
      <c r="AD681" s="276"/>
      <c r="AE681" s="268"/>
      <c r="AF681" s="268"/>
      <c r="AG681" s="294">
        <v>-6.3149999999999995</v>
      </c>
      <c r="AH681" s="294">
        <v>-0.36</v>
      </c>
      <c r="AI681" s="294">
        <v>0.95</v>
      </c>
      <c r="AJ681" s="276"/>
      <c r="AK681" s="268"/>
      <c r="AL681" s="268"/>
      <c r="AM681" s="268"/>
      <c r="AN681" s="268"/>
      <c r="AO681" s="275"/>
      <c r="AP681" s="268"/>
      <c r="AQ681" s="268"/>
      <c r="AR681" s="268"/>
      <c r="AS681" s="268"/>
      <c r="AT681" s="268"/>
      <c r="AU681" s="275"/>
      <c r="AV681" s="268" t="s">
        <v>1146</v>
      </c>
      <c r="AW681" s="268"/>
      <c r="AX681" s="268"/>
      <c r="AY681" s="268"/>
      <c r="AZ681" s="268"/>
      <c r="BA681" s="268"/>
      <c r="BB681" s="268"/>
      <c r="BC681" s="268"/>
    </row>
    <row r="682" spans="1:55" s="277" customFormat="1" ht="18" customHeight="1" x14ac:dyDescent="0.35">
      <c r="A682" s="274">
        <f>MATCH(B682,STUDIES!$A$3:$A$502,0)</f>
        <v>51</v>
      </c>
      <c r="B682" s="422" t="s">
        <v>1112</v>
      </c>
      <c r="C682" s="464"/>
      <c r="D682" s="311" t="s">
        <v>148</v>
      </c>
      <c r="E682" s="272" t="s">
        <v>695</v>
      </c>
      <c r="F682" s="155" t="str">
        <f>_xlfn.XLOOKUP(B682,STUDIES!$A$3:$A$1063,STUDIES!$G$3:$G$1063,"Not Found!")</f>
        <v>A</v>
      </c>
      <c r="G682" s="257" t="s">
        <v>147</v>
      </c>
      <c r="H682" s="257">
        <v>16</v>
      </c>
      <c r="I682" s="423">
        <v>147</v>
      </c>
      <c r="J682" s="424"/>
      <c r="K682" s="268">
        <v>7</v>
      </c>
      <c r="L682" s="268"/>
      <c r="M682" s="268">
        <v>2.4</v>
      </c>
      <c r="N682" s="268"/>
      <c r="O682" s="268"/>
      <c r="P682" s="268"/>
      <c r="Q682" s="282" t="s">
        <v>92</v>
      </c>
      <c r="R682" s="283">
        <v>-1.32</v>
      </c>
      <c r="S682" s="268"/>
      <c r="T682" s="268"/>
      <c r="U682" s="268"/>
      <c r="V682" s="268"/>
      <c r="W682" s="268"/>
      <c r="X682" s="276"/>
      <c r="Y682" s="268"/>
      <c r="Z682" s="268"/>
      <c r="AA682" s="268"/>
      <c r="AB682" s="268"/>
      <c r="AC682" s="268"/>
      <c r="AD682" s="276"/>
      <c r="AE682" s="268"/>
      <c r="AF682" s="268"/>
      <c r="AG682" s="294">
        <v>-1.91</v>
      </c>
      <c r="AH682" s="294">
        <v>-0.34499999999999997</v>
      </c>
      <c r="AI682" s="294">
        <v>0.95</v>
      </c>
      <c r="AJ682" s="276"/>
      <c r="AK682" s="268"/>
      <c r="AL682" s="268"/>
      <c r="AM682" s="268"/>
      <c r="AN682" s="268"/>
      <c r="AO682" s="275"/>
      <c r="AP682" s="268"/>
      <c r="AQ682" s="268"/>
      <c r="AR682" s="268"/>
      <c r="AS682" s="268"/>
      <c r="AT682" s="268"/>
      <c r="AU682" s="275"/>
      <c r="AV682" s="268" t="s">
        <v>1148</v>
      </c>
      <c r="AW682" s="268"/>
      <c r="AX682" s="268"/>
      <c r="AY682" s="268"/>
      <c r="AZ682" s="268"/>
      <c r="BA682" s="268"/>
      <c r="BB682" s="268"/>
      <c r="BC682" s="268"/>
    </row>
    <row r="683" spans="1:55" s="277" customFormat="1" ht="18" customHeight="1" x14ac:dyDescent="0.35">
      <c r="A683" s="274">
        <f>MATCH(B683,STUDIES!$A$3:$A$502,0)</f>
        <v>52</v>
      </c>
      <c r="B683" s="272" t="s">
        <v>1406</v>
      </c>
      <c r="C683" s="435"/>
      <c r="D683" s="281" t="s">
        <v>148</v>
      </c>
      <c r="E683" s="272" t="s">
        <v>1163</v>
      </c>
      <c r="F683" s="155" t="str">
        <f>_xlfn.XLOOKUP(B683,STUDIES!$A$3:$A$1063,STUDIES!$G$3:$G$1063,"Not Found!")</f>
        <v>A</v>
      </c>
      <c r="G683" s="273" t="s">
        <v>152</v>
      </c>
      <c r="H683" s="273">
        <v>52</v>
      </c>
      <c r="I683" s="273">
        <v>93</v>
      </c>
      <c r="J683" s="274">
        <v>5</v>
      </c>
      <c r="K683" s="268"/>
      <c r="L683" s="268"/>
      <c r="M683" s="268"/>
      <c r="N683" s="268"/>
      <c r="O683" s="268"/>
      <c r="P683" s="268"/>
      <c r="Q683" s="282"/>
      <c r="R683" s="283"/>
      <c r="S683" s="268"/>
      <c r="T683" s="268"/>
      <c r="U683" s="268"/>
      <c r="V683" s="268"/>
      <c r="W683" s="268"/>
      <c r="X683" s="276"/>
      <c r="Y683" s="268"/>
      <c r="Z683" s="268"/>
      <c r="AA683" s="268"/>
      <c r="AB683" s="268"/>
      <c r="AC683" s="268"/>
      <c r="AD683" s="276"/>
      <c r="AE683" s="268"/>
      <c r="AF683" s="268"/>
      <c r="AG683" s="268"/>
      <c r="AH683" s="268"/>
      <c r="AI683" s="268"/>
      <c r="AJ683" s="276"/>
      <c r="AK683" s="268"/>
      <c r="AL683" s="268"/>
      <c r="AM683" s="268"/>
      <c r="AN683" s="268"/>
      <c r="AO683" s="275"/>
      <c r="AP683" s="268"/>
      <c r="AQ683" s="268"/>
      <c r="AR683" s="268"/>
      <c r="AS683" s="268"/>
      <c r="AT683" s="268"/>
      <c r="AU683" s="275"/>
      <c r="AV683" s="268"/>
      <c r="AW683" s="268"/>
      <c r="AX683" s="268"/>
      <c r="AY683" s="268"/>
      <c r="AZ683" s="268"/>
      <c r="BA683" s="268"/>
      <c r="BB683" s="268"/>
      <c r="BC683" s="268"/>
    </row>
    <row r="684" spans="1:55" s="277" customFormat="1" ht="18" customHeight="1" x14ac:dyDescent="0.35">
      <c r="A684" s="274">
        <f>MATCH(B684,STUDIES!$A$3:$A$502,0)</f>
        <v>52</v>
      </c>
      <c r="B684" s="272" t="s">
        <v>1406</v>
      </c>
      <c r="C684" s="435"/>
      <c r="D684" s="281" t="s">
        <v>148</v>
      </c>
      <c r="E684" s="272" t="s">
        <v>1167</v>
      </c>
      <c r="F684" s="155" t="str">
        <f>_xlfn.XLOOKUP(B684,STUDIES!$A$3:$A$1063,STUDIES!$G$3:$G$1063,"Not Found!")</f>
        <v>A</v>
      </c>
      <c r="G684" s="273" t="s">
        <v>152</v>
      </c>
      <c r="H684" s="273">
        <v>52</v>
      </c>
      <c r="I684" s="273">
        <v>93</v>
      </c>
      <c r="J684" s="274">
        <v>2</v>
      </c>
      <c r="K684" s="268"/>
      <c r="L684" s="268"/>
      <c r="M684" s="268"/>
      <c r="N684" s="268"/>
      <c r="O684" s="268"/>
      <c r="P684" s="268"/>
      <c r="Q684" s="282"/>
      <c r="R684" s="283"/>
      <c r="S684" s="268"/>
      <c r="T684" s="268"/>
      <c r="U684" s="268"/>
      <c r="V684" s="268"/>
      <c r="W684" s="268"/>
      <c r="X684" s="276"/>
      <c r="Y684" s="268"/>
      <c r="Z684" s="268"/>
      <c r="AA684" s="268"/>
      <c r="AB684" s="268"/>
      <c r="AC684" s="268"/>
      <c r="AD684" s="276"/>
      <c r="AE684" s="268"/>
      <c r="AF684" s="268"/>
      <c r="AG684" s="268"/>
      <c r="AH684" s="268"/>
      <c r="AI684" s="268"/>
      <c r="AJ684" s="276"/>
      <c r="AK684" s="268"/>
      <c r="AL684" s="268"/>
      <c r="AM684" s="268"/>
      <c r="AN684" s="268"/>
      <c r="AO684" s="275"/>
      <c r="AP684" s="268"/>
      <c r="AQ684" s="268"/>
      <c r="AR684" s="268"/>
      <c r="AS684" s="268"/>
      <c r="AT684" s="268"/>
      <c r="AU684" s="275"/>
      <c r="AV684" s="268"/>
      <c r="AW684" s="268"/>
      <c r="AX684" s="268"/>
      <c r="AY684" s="268"/>
      <c r="AZ684" s="268"/>
      <c r="BA684" s="268"/>
      <c r="BB684" s="268"/>
      <c r="BC684" s="268"/>
    </row>
    <row r="685" spans="1:55" s="277" customFormat="1" ht="18" customHeight="1" x14ac:dyDescent="0.35">
      <c r="A685" s="274">
        <f>MATCH(B685,STUDIES!$A$3:$A$502,0)</f>
        <v>52</v>
      </c>
      <c r="B685" s="422" t="s">
        <v>1406</v>
      </c>
      <c r="C685" s="464"/>
      <c r="D685" s="311" t="s">
        <v>1042</v>
      </c>
      <c r="E685" s="272" t="s">
        <v>154</v>
      </c>
      <c r="F685" s="155" t="str">
        <f>_xlfn.XLOOKUP(B685,STUDIES!$A$3:$A$1063,STUDIES!$G$3:$G$1063,"Not Found!")</f>
        <v>A</v>
      </c>
      <c r="G685" s="257" t="s">
        <v>147</v>
      </c>
      <c r="H685" s="257">
        <v>16</v>
      </c>
      <c r="I685" s="423">
        <v>62</v>
      </c>
      <c r="J685" s="424"/>
      <c r="K685" s="268"/>
      <c r="L685" s="268"/>
      <c r="M685" s="268"/>
      <c r="N685" s="268"/>
      <c r="O685" s="268"/>
      <c r="P685" s="268"/>
      <c r="Q685" s="282" t="s">
        <v>90</v>
      </c>
      <c r="R685" s="283">
        <v>-6.18</v>
      </c>
      <c r="S685" s="268">
        <v>0.71899999999999997</v>
      </c>
      <c r="T685" s="268"/>
      <c r="U685" s="268"/>
      <c r="V685" s="268"/>
      <c r="W685" s="268"/>
      <c r="X685" s="276"/>
      <c r="Y685" s="268"/>
      <c r="Z685" s="268"/>
      <c r="AA685" s="268"/>
      <c r="AB685" s="268"/>
      <c r="AC685" s="268"/>
      <c r="AD685" s="276"/>
      <c r="AE685" s="268"/>
      <c r="AF685" s="268"/>
      <c r="AG685" s="268"/>
      <c r="AH685" s="268"/>
      <c r="AI685" s="268"/>
      <c r="AJ685" s="276"/>
      <c r="AK685" s="268"/>
      <c r="AL685" s="268"/>
      <c r="AM685" s="268"/>
      <c r="AN685" s="268"/>
      <c r="AO685" s="275"/>
      <c r="AP685" s="268"/>
      <c r="AQ685" s="268"/>
      <c r="AR685" s="268"/>
      <c r="AS685" s="268"/>
      <c r="AT685" s="268"/>
      <c r="AU685" s="275"/>
      <c r="AV685" s="268"/>
      <c r="AW685" s="268"/>
      <c r="AX685" s="268"/>
      <c r="AY685" s="268"/>
      <c r="AZ685" s="268"/>
      <c r="BA685" s="268"/>
      <c r="BB685" s="268"/>
      <c r="BC685" s="268"/>
    </row>
    <row r="686" spans="1:55" s="277" customFormat="1" ht="18" customHeight="1" x14ac:dyDescent="0.35">
      <c r="A686" s="274">
        <f>MATCH(B686,STUDIES!$A$3:$A$502,0)</f>
        <v>52</v>
      </c>
      <c r="B686" s="422" t="s">
        <v>1406</v>
      </c>
      <c r="C686" s="464"/>
      <c r="D686" s="311" t="s">
        <v>1042</v>
      </c>
      <c r="E686" s="272" t="s">
        <v>153</v>
      </c>
      <c r="F686" s="155" t="str">
        <f>_xlfn.XLOOKUP(B686,STUDIES!$A$3:$A$1063,STUDIES!$G$3:$G$1063,"Not Found!")</f>
        <v>A</v>
      </c>
      <c r="G686" s="257" t="s">
        <v>147</v>
      </c>
      <c r="H686" s="257">
        <v>16</v>
      </c>
      <c r="I686" s="423">
        <v>62</v>
      </c>
      <c r="J686" s="424"/>
      <c r="K686" s="268"/>
      <c r="L686" s="268"/>
      <c r="M686" s="268"/>
      <c r="N686" s="268"/>
      <c r="O686" s="268"/>
      <c r="P686" s="268"/>
      <c r="Q686" s="282" t="s">
        <v>90</v>
      </c>
      <c r="R686" s="283">
        <v>-6.24</v>
      </c>
      <c r="S686" s="268">
        <v>0.872</v>
      </c>
      <c r="T686" s="268"/>
      <c r="U686" s="268"/>
      <c r="V686" s="268"/>
      <c r="W686" s="268"/>
      <c r="X686" s="276"/>
      <c r="Y686" s="268"/>
      <c r="Z686" s="268"/>
      <c r="AA686" s="268"/>
      <c r="AB686" s="268"/>
      <c r="AC686" s="268"/>
      <c r="AD686" s="276"/>
      <c r="AE686" s="268"/>
      <c r="AF686" s="268"/>
      <c r="AG686" s="268"/>
      <c r="AH686" s="268"/>
      <c r="AI686" s="268"/>
      <c r="AJ686" s="276"/>
      <c r="AK686" s="268"/>
      <c r="AL686" s="268"/>
      <c r="AM686" s="268"/>
      <c r="AN686" s="268"/>
      <c r="AO686" s="275"/>
      <c r="AP686" s="268"/>
      <c r="AQ686" s="268"/>
      <c r="AR686" s="268"/>
      <c r="AS686" s="268"/>
      <c r="AT686" s="268"/>
      <c r="AU686" s="275"/>
      <c r="AV686" s="268"/>
      <c r="AW686" s="268"/>
      <c r="AX686" s="268"/>
      <c r="AY686" s="268"/>
      <c r="AZ686" s="268"/>
      <c r="BA686" s="268"/>
      <c r="BB686" s="268"/>
      <c r="BC686" s="268"/>
    </row>
    <row r="687" spans="1:55" s="277" customFormat="1" ht="18" customHeight="1" x14ac:dyDescent="0.35">
      <c r="A687" s="274">
        <f>MATCH(B687,STUDIES!$A$3:$A$502,0)</f>
        <v>52</v>
      </c>
      <c r="B687" s="272" t="s">
        <v>1406</v>
      </c>
      <c r="C687" s="435"/>
      <c r="D687" s="281" t="s">
        <v>1042</v>
      </c>
      <c r="E687" s="272" t="s">
        <v>1163</v>
      </c>
      <c r="F687" s="155" t="str">
        <f>_xlfn.XLOOKUP(B687,STUDIES!$A$3:$A$1063,STUDIES!$G$3:$G$1063,"Not Found!")</f>
        <v>A</v>
      </c>
      <c r="G687" s="273" t="s">
        <v>152</v>
      </c>
      <c r="H687" s="273">
        <v>52</v>
      </c>
      <c r="I687" s="273">
        <v>93</v>
      </c>
      <c r="J687" s="274">
        <v>7</v>
      </c>
      <c r="K687" s="268"/>
      <c r="L687" s="268"/>
      <c r="M687" s="268"/>
      <c r="N687" s="268"/>
      <c r="O687" s="268"/>
      <c r="P687" s="268"/>
      <c r="Q687" s="282"/>
      <c r="R687" s="283"/>
      <c r="S687" s="268"/>
      <c r="T687" s="268"/>
      <c r="U687" s="268"/>
      <c r="V687" s="268"/>
      <c r="W687" s="268"/>
      <c r="X687" s="276"/>
      <c r="Y687" s="268"/>
      <c r="Z687" s="268"/>
      <c r="AA687" s="268"/>
      <c r="AB687" s="268"/>
      <c r="AC687" s="268"/>
      <c r="AD687" s="276"/>
      <c r="AE687" s="268"/>
      <c r="AF687" s="268"/>
      <c r="AG687" s="268"/>
      <c r="AH687" s="268"/>
      <c r="AI687" s="268"/>
      <c r="AJ687" s="276"/>
      <c r="AK687" s="268"/>
      <c r="AL687" s="268"/>
      <c r="AM687" s="268"/>
      <c r="AN687" s="268"/>
      <c r="AO687" s="275"/>
      <c r="AP687" s="268"/>
      <c r="AQ687" s="268"/>
      <c r="AR687" s="268"/>
      <c r="AS687" s="268"/>
      <c r="AT687" s="268"/>
      <c r="AU687" s="275"/>
      <c r="AV687" s="268"/>
      <c r="AW687" s="268"/>
      <c r="AX687" s="268"/>
      <c r="AY687" s="268"/>
      <c r="AZ687" s="268"/>
      <c r="BA687" s="268"/>
      <c r="BB687" s="268"/>
      <c r="BC687" s="268"/>
    </row>
    <row r="688" spans="1:55" s="277" customFormat="1" ht="18" customHeight="1" x14ac:dyDescent="0.35">
      <c r="A688" s="274">
        <f>MATCH(B688,STUDIES!$A$3:$A$502,0)</f>
        <v>52</v>
      </c>
      <c r="B688" s="272" t="s">
        <v>1406</v>
      </c>
      <c r="C688" s="435"/>
      <c r="D688" s="281" t="s">
        <v>1042</v>
      </c>
      <c r="E688" s="272" t="s">
        <v>1167</v>
      </c>
      <c r="F688" s="155" t="str">
        <f>_xlfn.XLOOKUP(B688,STUDIES!$A$3:$A$1063,STUDIES!$G$3:$G$1063,"Not Found!")</f>
        <v>A</v>
      </c>
      <c r="G688" s="273" t="s">
        <v>152</v>
      </c>
      <c r="H688" s="273">
        <v>52</v>
      </c>
      <c r="I688" s="273">
        <v>93</v>
      </c>
      <c r="J688" s="274">
        <v>1</v>
      </c>
      <c r="K688" s="268"/>
      <c r="L688" s="268"/>
      <c r="M688" s="268"/>
      <c r="N688" s="268"/>
      <c r="O688" s="268"/>
      <c r="P688" s="268"/>
      <c r="Q688" s="282"/>
      <c r="R688" s="283"/>
      <c r="S688" s="268"/>
      <c r="T688" s="268"/>
      <c r="U688" s="268"/>
      <c r="V688" s="268"/>
      <c r="W688" s="268"/>
      <c r="X688" s="276"/>
      <c r="Y688" s="268"/>
      <c r="Z688" s="268"/>
      <c r="AA688" s="268"/>
      <c r="AB688" s="268"/>
      <c r="AC688" s="268"/>
      <c r="AD688" s="276"/>
      <c r="AE688" s="268"/>
      <c r="AF688" s="268"/>
      <c r="AG688" s="268"/>
      <c r="AH688" s="268"/>
      <c r="AI688" s="268"/>
      <c r="AJ688" s="276"/>
      <c r="AK688" s="268"/>
      <c r="AL688" s="268"/>
      <c r="AM688" s="268"/>
      <c r="AN688" s="268"/>
      <c r="AO688" s="275"/>
      <c r="AP688" s="268"/>
      <c r="AQ688" s="268"/>
      <c r="AR688" s="268"/>
      <c r="AS688" s="268"/>
      <c r="AT688" s="268"/>
      <c r="AU688" s="275"/>
      <c r="AV688" s="268"/>
      <c r="AW688" s="268"/>
      <c r="AX688" s="268"/>
      <c r="AY688" s="268"/>
      <c r="AZ688" s="268"/>
      <c r="BA688" s="268"/>
      <c r="BB688" s="268"/>
      <c r="BC688" s="268"/>
    </row>
    <row r="689" spans="1:55" s="277" customFormat="1" ht="18" customHeight="1" x14ac:dyDescent="0.35">
      <c r="A689" s="274">
        <f>MATCH(B689,STUDIES!$A$3:$A$502,0)</f>
        <v>52</v>
      </c>
      <c r="B689" s="422" t="s">
        <v>1406</v>
      </c>
      <c r="C689" s="464"/>
      <c r="D689" s="311" t="s">
        <v>1043</v>
      </c>
      <c r="E689" s="272" t="s">
        <v>154</v>
      </c>
      <c r="F689" s="155" t="str">
        <f>_xlfn.XLOOKUP(B689,STUDIES!$A$3:$A$1063,STUDIES!$G$3:$G$1063,"Not Found!")</f>
        <v>A</v>
      </c>
      <c r="G689" s="257" t="s">
        <v>147</v>
      </c>
      <c r="H689" s="257">
        <v>16</v>
      </c>
      <c r="I689" s="423">
        <v>145</v>
      </c>
      <c r="J689" s="424"/>
      <c r="K689" s="268"/>
      <c r="L689" s="268"/>
      <c r="M689" s="268"/>
      <c r="N689" s="268"/>
      <c r="O689" s="268"/>
      <c r="P689" s="268"/>
      <c r="Q689" s="282" t="s">
        <v>90</v>
      </c>
      <c r="R689" s="283">
        <v>-6.57</v>
      </c>
      <c r="S689" s="268">
        <v>0.49399999999999999</v>
      </c>
      <c r="T689" s="268"/>
      <c r="U689" s="268"/>
      <c r="V689" s="268"/>
      <c r="W689" s="268"/>
      <c r="X689" s="276"/>
      <c r="Y689" s="268"/>
      <c r="Z689" s="268"/>
      <c r="AA689" s="268"/>
      <c r="AB689" s="268"/>
      <c r="AC689" s="268"/>
      <c r="AD689" s="276"/>
      <c r="AE689" s="268"/>
      <c r="AF689" s="268"/>
      <c r="AG689" s="268"/>
      <c r="AH689" s="268"/>
      <c r="AI689" s="268"/>
      <c r="AJ689" s="276"/>
      <c r="AK689" s="268"/>
      <c r="AL689" s="268"/>
      <c r="AM689" s="268"/>
      <c r="AN689" s="268"/>
      <c r="AO689" s="275"/>
      <c r="AP689" s="268"/>
      <c r="AQ689" s="268"/>
      <c r="AR689" s="268"/>
      <c r="AS689" s="268"/>
      <c r="AT689" s="268"/>
      <c r="AU689" s="275"/>
      <c r="AV689" s="268"/>
      <c r="AW689" s="268"/>
      <c r="AX689" s="268"/>
      <c r="AY689" s="268"/>
      <c r="AZ689" s="268"/>
      <c r="BA689" s="268"/>
      <c r="BB689" s="268"/>
      <c r="BC689" s="268"/>
    </row>
    <row r="690" spans="1:55" s="277" customFormat="1" ht="18" customHeight="1" x14ac:dyDescent="0.35">
      <c r="A690" s="274">
        <f>MATCH(B690,STUDIES!$A$3:$A$502,0)</f>
        <v>52</v>
      </c>
      <c r="B690" s="422" t="s">
        <v>1406</v>
      </c>
      <c r="C690" s="464"/>
      <c r="D690" s="311" t="s">
        <v>1043</v>
      </c>
      <c r="E690" s="272" t="s">
        <v>153</v>
      </c>
      <c r="F690" s="155" t="str">
        <f>_xlfn.XLOOKUP(B690,STUDIES!$A$3:$A$1063,STUDIES!$G$3:$G$1063,"Not Found!")</f>
        <v>A</v>
      </c>
      <c r="G690" s="257" t="s">
        <v>147</v>
      </c>
      <c r="H690" s="257">
        <v>16</v>
      </c>
      <c r="I690" s="423">
        <v>145</v>
      </c>
      <c r="J690" s="424"/>
      <c r="K690" s="268"/>
      <c r="L690" s="268"/>
      <c r="M690" s="268"/>
      <c r="N690" s="268"/>
      <c r="O690" s="268"/>
      <c r="P690" s="268"/>
      <c r="Q690" s="282" t="s">
        <v>90</v>
      </c>
      <c r="R690" s="283">
        <v>-7.27</v>
      </c>
      <c r="S690" s="268">
        <v>0.60199999999999998</v>
      </c>
      <c r="T690" s="268"/>
      <c r="U690" s="268"/>
      <c r="V690" s="268"/>
      <c r="W690" s="268"/>
      <c r="X690" s="276"/>
      <c r="Y690" s="268"/>
      <c r="Z690" s="268"/>
      <c r="AA690" s="268"/>
      <c r="AB690" s="268"/>
      <c r="AC690" s="268"/>
      <c r="AD690" s="276"/>
      <c r="AE690" s="268"/>
      <c r="AF690" s="268"/>
      <c r="AG690" s="268"/>
      <c r="AH690" s="268"/>
      <c r="AI690" s="268"/>
      <c r="AJ690" s="276"/>
      <c r="AK690" s="268"/>
      <c r="AL690" s="268"/>
      <c r="AM690" s="268"/>
      <c r="AN690" s="268"/>
      <c r="AO690" s="275"/>
      <c r="AP690" s="268"/>
      <c r="AQ690" s="268"/>
      <c r="AR690" s="268"/>
      <c r="AS690" s="268"/>
      <c r="AT690" s="268"/>
      <c r="AU690" s="275"/>
      <c r="AV690" s="268"/>
      <c r="AW690" s="268"/>
      <c r="AX690" s="268"/>
      <c r="AY690" s="268"/>
      <c r="AZ690" s="268"/>
      <c r="BA690" s="268"/>
      <c r="BB690" s="268"/>
      <c r="BC690" s="268"/>
    </row>
    <row r="691" spans="1:55" s="277" customFormat="1" ht="18" customHeight="1" x14ac:dyDescent="0.35">
      <c r="A691" s="274">
        <f>MATCH(B691,STUDIES!$A$3:$A$502,0)</f>
        <v>52</v>
      </c>
      <c r="B691" s="272" t="s">
        <v>1406</v>
      </c>
      <c r="C691" s="435"/>
      <c r="D691" s="281" t="s">
        <v>1043</v>
      </c>
      <c r="E691" s="272" t="s">
        <v>1163</v>
      </c>
      <c r="F691" s="155" t="str">
        <f>_xlfn.XLOOKUP(B691,STUDIES!$A$3:$A$1063,STUDIES!$G$3:$G$1063,"Not Found!")</f>
        <v>A</v>
      </c>
      <c r="G691" s="273" t="s">
        <v>152</v>
      </c>
      <c r="H691" s="273">
        <v>52</v>
      </c>
      <c r="I691" s="273">
        <v>185</v>
      </c>
      <c r="J691" s="274">
        <v>9</v>
      </c>
      <c r="K691" s="268"/>
      <c r="L691" s="268"/>
      <c r="M691" s="268"/>
      <c r="N691" s="268"/>
      <c r="O691" s="268"/>
      <c r="P691" s="268"/>
      <c r="Q691" s="282"/>
      <c r="R691" s="283"/>
      <c r="S691" s="268"/>
      <c r="T691" s="268"/>
      <c r="U691" s="268"/>
      <c r="V691" s="268"/>
      <c r="W691" s="268"/>
      <c r="X691" s="276"/>
      <c r="Y691" s="268"/>
      <c r="Z691" s="268"/>
      <c r="AA691" s="268"/>
      <c r="AB691" s="268"/>
      <c r="AC691" s="268"/>
      <c r="AD691" s="276"/>
      <c r="AE691" s="268"/>
      <c r="AF691" s="268"/>
      <c r="AG691" s="268"/>
      <c r="AH691" s="268"/>
      <c r="AI691" s="268"/>
      <c r="AJ691" s="276"/>
      <c r="AK691" s="268"/>
      <c r="AL691" s="268"/>
      <c r="AM691" s="268"/>
      <c r="AN691" s="268"/>
      <c r="AO691" s="275"/>
      <c r="AP691" s="268"/>
      <c r="AQ691" s="268"/>
      <c r="AR691" s="268"/>
      <c r="AS691" s="268"/>
      <c r="AT691" s="268"/>
      <c r="AU691" s="275"/>
      <c r="AV691" s="268"/>
      <c r="AW691" s="268"/>
      <c r="AX691" s="268"/>
      <c r="AY691" s="268"/>
      <c r="AZ691" s="268"/>
      <c r="BA691" s="268"/>
      <c r="BB691" s="268"/>
      <c r="BC691" s="268"/>
    </row>
    <row r="692" spans="1:55" s="277" customFormat="1" ht="18" customHeight="1" x14ac:dyDescent="0.35">
      <c r="A692" s="274">
        <f>MATCH(B692,STUDIES!$A$3:$A$502,0)</f>
        <v>52</v>
      </c>
      <c r="B692" s="272" t="s">
        <v>1406</v>
      </c>
      <c r="C692" s="435"/>
      <c r="D692" s="281" t="s">
        <v>1043</v>
      </c>
      <c r="E692" s="272" t="s">
        <v>1167</v>
      </c>
      <c r="F692" s="155" t="str">
        <f>_xlfn.XLOOKUP(B692,STUDIES!$A$3:$A$1063,STUDIES!$G$3:$G$1063,"Not Found!")</f>
        <v>A</v>
      </c>
      <c r="G692" s="273" t="s">
        <v>152</v>
      </c>
      <c r="H692" s="273">
        <v>52</v>
      </c>
      <c r="I692" s="273">
        <v>185</v>
      </c>
      <c r="J692" s="274">
        <v>10</v>
      </c>
      <c r="K692" s="268"/>
      <c r="L692" s="268"/>
      <c r="M692" s="268"/>
      <c r="N692" s="268"/>
      <c r="O692" s="268"/>
      <c r="P692" s="268"/>
      <c r="Q692" s="282"/>
      <c r="R692" s="283"/>
      <c r="S692" s="268"/>
      <c r="T692" s="268"/>
      <c r="U692" s="268"/>
      <c r="V692" s="268"/>
      <c r="W692" s="268"/>
      <c r="X692" s="276"/>
      <c r="Y692" s="268"/>
      <c r="Z692" s="268"/>
      <c r="AA692" s="268"/>
      <c r="AB692" s="268"/>
      <c r="AC692" s="268"/>
      <c r="AD692" s="276"/>
      <c r="AE692" s="268"/>
      <c r="AF692" s="268"/>
      <c r="AG692" s="268"/>
      <c r="AH692" s="268"/>
      <c r="AI692" s="268"/>
      <c r="AJ692" s="276"/>
      <c r="AK692" s="268"/>
      <c r="AL692" s="268"/>
      <c r="AM692" s="268"/>
      <c r="AN692" s="268"/>
      <c r="AO692" s="275"/>
      <c r="AP692" s="268"/>
      <c r="AQ692" s="268"/>
      <c r="AR692" s="268"/>
      <c r="AS692" s="268"/>
      <c r="AT692" s="268"/>
      <c r="AU692" s="275"/>
      <c r="AV692" s="268"/>
      <c r="AW692" s="268"/>
      <c r="AX692" s="268"/>
      <c r="AY692" s="268"/>
      <c r="AZ692" s="268"/>
      <c r="BA692" s="268"/>
      <c r="BB692" s="268"/>
      <c r="BC692" s="268"/>
    </row>
    <row r="693" spans="1:55" s="277" customFormat="1" ht="18" customHeight="1" x14ac:dyDescent="0.35">
      <c r="A693" s="274">
        <f>MATCH(B693,STUDIES!$A$3:$A$502,0)</f>
        <v>52</v>
      </c>
      <c r="B693" s="422" t="s">
        <v>1406</v>
      </c>
      <c r="C693" s="464"/>
      <c r="D693" s="311" t="s">
        <v>1044</v>
      </c>
      <c r="E693" s="272" t="s">
        <v>154</v>
      </c>
      <c r="F693" s="155" t="str">
        <f>_xlfn.XLOOKUP(B693,STUDIES!$A$3:$A$1063,STUDIES!$G$3:$G$1063,"Not Found!")</f>
        <v>A</v>
      </c>
      <c r="G693" s="257" t="s">
        <v>147</v>
      </c>
      <c r="H693" s="273">
        <v>16</v>
      </c>
      <c r="I693" s="423">
        <v>67</v>
      </c>
      <c r="J693" s="424"/>
      <c r="K693" s="268"/>
      <c r="L693" s="268"/>
      <c r="M693" s="268"/>
      <c r="N693" s="268"/>
      <c r="O693" s="268"/>
      <c r="P693" s="268"/>
      <c r="Q693" s="282" t="s">
        <v>90</v>
      </c>
      <c r="R693" s="283">
        <v>-7.95</v>
      </c>
      <c r="S693" s="268">
        <v>0.70499999999999996</v>
      </c>
      <c r="T693" s="268"/>
      <c r="U693" s="268"/>
      <c r="V693" s="268"/>
      <c r="W693" s="268"/>
      <c r="X693" s="276"/>
      <c r="Y693" s="268"/>
      <c r="Z693" s="268"/>
      <c r="AA693" s="268"/>
      <c r="AB693" s="268"/>
      <c r="AC693" s="268"/>
      <c r="AD693" s="276"/>
      <c r="AE693" s="268"/>
      <c r="AF693" s="268"/>
      <c r="AG693" s="268"/>
      <c r="AH693" s="268"/>
      <c r="AI693" s="268"/>
      <c r="AJ693" s="276"/>
      <c r="AK693" s="268"/>
      <c r="AL693" s="268"/>
      <c r="AM693" s="268"/>
      <c r="AN693" s="268"/>
      <c r="AO693" s="275"/>
      <c r="AP693" s="268"/>
      <c r="AQ693" s="268"/>
      <c r="AR693" s="268"/>
      <c r="AS693" s="268"/>
      <c r="AT693" s="268"/>
      <c r="AU693" s="275"/>
      <c r="AV693" s="268"/>
      <c r="AW693" s="268"/>
      <c r="AX693" s="268"/>
      <c r="AY693" s="268"/>
      <c r="AZ693" s="268"/>
      <c r="BA693" s="268"/>
      <c r="BB693" s="268"/>
      <c r="BC693" s="268"/>
    </row>
    <row r="694" spans="1:55" s="277" customFormat="1" ht="18" customHeight="1" x14ac:dyDescent="0.35">
      <c r="A694" s="274">
        <f>MATCH(B694,STUDIES!$A$3:$A$502,0)</f>
        <v>52</v>
      </c>
      <c r="B694" s="422" t="s">
        <v>1406</v>
      </c>
      <c r="C694" s="464"/>
      <c r="D694" s="311" t="s">
        <v>1044</v>
      </c>
      <c r="E694" s="272" t="s">
        <v>153</v>
      </c>
      <c r="F694" s="155" t="str">
        <f>_xlfn.XLOOKUP(B694,STUDIES!$A$3:$A$1063,STUDIES!$G$3:$G$1063,"Not Found!")</f>
        <v>A</v>
      </c>
      <c r="G694" s="257" t="s">
        <v>147</v>
      </c>
      <c r="H694" s="273">
        <v>16</v>
      </c>
      <c r="I694" s="423">
        <v>67</v>
      </c>
      <c r="J694" s="424"/>
      <c r="K694" s="268"/>
      <c r="L694" s="268"/>
      <c r="M694" s="268"/>
      <c r="N694" s="268"/>
      <c r="O694" s="268"/>
      <c r="P694" s="268"/>
      <c r="Q694" s="282" t="s">
        <v>90</v>
      </c>
      <c r="R694" s="283">
        <v>-9.27</v>
      </c>
      <c r="S694" s="268">
        <v>0.85499999999999998</v>
      </c>
      <c r="T694" s="268"/>
      <c r="U694" s="268"/>
      <c r="V694" s="268"/>
      <c r="W694" s="268"/>
      <c r="X694" s="276"/>
      <c r="Y694" s="268"/>
      <c r="Z694" s="268"/>
      <c r="AA694" s="268"/>
      <c r="AB694" s="268"/>
      <c r="AC694" s="268"/>
      <c r="AD694" s="276"/>
      <c r="AE694" s="268"/>
      <c r="AF694" s="268"/>
      <c r="AG694" s="268"/>
      <c r="AH694" s="268"/>
      <c r="AI694" s="268"/>
      <c r="AJ694" s="276"/>
      <c r="AK694" s="268"/>
      <c r="AL694" s="268"/>
      <c r="AM694" s="268"/>
      <c r="AN694" s="268"/>
      <c r="AO694" s="275"/>
      <c r="AP694" s="268"/>
      <c r="AQ694" s="268"/>
      <c r="AR694" s="268"/>
      <c r="AS694" s="268"/>
      <c r="AT694" s="268"/>
      <c r="AU694" s="275"/>
      <c r="AV694" s="268"/>
      <c r="AW694" s="268"/>
      <c r="AX694" s="268"/>
      <c r="AY694" s="268"/>
      <c r="AZ694" s="268"/>
      <c r="BA694" s="268"/>
      <c r="BB694" s="268"/>
      <c r="BC694" s="268"/>
    </row>
    <row r="695" spans="1:55" s="277" customFormat="1" ht="18" customHeight="1" x14ac:dyDescent="0.35">
      <c r="A695" s="274">
        <f>MATCH(B695,STUDIES!$A$3:$A$502,0)</f>
        <v>52</v>
      </c>
      <c r="B695" s="272" t="s">
        <v>1406</v>
      </c>
      <c r="C695" s="435"/>
      <c r="D695" s="281" t="s">
        <v>1044</v>
      </c>
      <c r="E695" s="272" t="s">
        <v>1163</v>
      </c>
      <c r="F695" s="155" t="str">
        <f>_xlfn.XLOOKUP(B695,STUDIES!$A$3:$A$1063,STUDIES!$G$3:$G$1063,"Not Found!")</f>
        <v>A</v>
      </c>
      <c r="G695" s="273" t="s">
        <v>152</v>
      </c>
      <c r="H695" s="273">
        <v>52</v>
      </c>
      <c r="I695" s="273">
        <v>92</v>
      </c>
      <c r="J695" s="274">
        <v>10</v>
      </c>
      <c r="K695" s="268"/>
      <c r="L695" s="268"/>
      <c r="M695" s="268"/>
      <c r="N695" s="268"/>
      <c r="O695" s="268"/>
      <c r="P695" s="268"/>
      <c r="Q695" s="282"/>
      <c r="R695" s="283"/>
      <c r="S695" s="268"/>
      <c r="T695" s="268"/>
      <c r="U695" s="268"/>
      <c r="V695" s="268"/>
      <c r="W695" s="268"/>
      <c r="X695" s="276"/>
      <c r="Y695" s="268"/>
      <c r="Z695" s="268"/>
      <c r="AA695" s="268"/>
      <c r="AB695" s="268"/>
      <c r="AC695" s="268"/>
      <c r="AD695" s="276"/>
      <c r="AE695" s="268"/>
      <c r="AF695" s="268"/>
      <c r="AG695" s="268"/>
      <c r="AH695" s="268"/>
      <c r="AI695" s="268"/>
      <c r="AJ695" s="276"/>
      <c r="AK695" s="268"/>
      <c r="AL695" s="268"/>
      <c r="AM695" s="268"/>
      <c r="AN695" s="268"/>
      <c r="AO695" s="275"/>
      <c r="AP695" s="268"/>
      <c r="AQ695" s="268"/>
      <c r="AR695" s="268"/>
      <c r="AS695" s="268"/>
      <c r="AT695" s="268"/>
      <c r="AU695" s="275"/>
      <c r="AV695" s="268"/>
      <c r="AW695" s="268"/>
      <c r="AX695" s="268"/>
      <c r="AY695" s="268"/>
      <c r="AZ695" s="268"/>
      <c r="BA695" s="268"/>
      <c r="BB695" s="268"/>
      <c r="BC695" s="268"/>
    </row>
    <row r="696" spans="1:55" s="277" customFormat="1" ht="18" customHeight="1" x14ac:dyDescent="0.35">
      <c r="A696" s="274">
        <f>MATCH(B696,STUDIES!$A$3:$A$502,0)</f>
        <v>52</v>
      </c>
      <c r="B696" s="272" t="s">
        <v>1406</v>
      </c>
      <c r="C696" s="435"/>
      <c r="D696" s="281" t="s">
        <v>1044</v>
      </c>
      <c r="E696" s="272" t="s">
        <v>1167</v>
      </c>
      <c r="F696" s="155" t="str">
        <f>_xlfn.XLOOKUP(B696,STUDIES!$A$3:$A$1063,STUDIES!$G$3:$G$1063,"Not Found!")</f>
        <v>A</v>
      </c>
      <c r="G696" s="273" t="s">
        <v>152</v>
      </c>
      <c r="H696" s="273">
        <v>52</v>
      </c>
      <c r="I696" s="273">
        <v>92</v>
      </c>
      <c r="J696" s="274">
        <v>3</v>
      </c>
      <c r="K696" s="268"/>
      <c r="L696" s="268"/>
      <c r="M696" s="268"/>
      <c r="N696" s="268"/>
      <c r="O696" s="268"/>
      <c r="P696" s="268"/>
      <c r="Q696" s="282"/>
      <c r="R696" s="283"/>
      <c r="S696" s="268"/>
      <c r="T696" s="268"/>
      <c r="U696" s="268"/>
      <c r="V696" s="268"/>
      <c r="W696" s="268"/>
      <c r="X696" s="276"/>
      <c r="Y696" s="268"/>
      <c r="Z696" s="268"/>
      <c r="AA696" s="268"/>
      <c r="AB696" s="268"/>
      <c r="AC696" s="268"/>
      <c r="AD696" s="276"/>
      <c r="AE696" s="268"/>
      <c r="AF696" s="268"/>
      <c r="AG696" s="268"/>
      <c r="AH696" s="268"/>
      <c r="AI696" s="268"/>
      <c r="AJ696" s="276"/>
      <c r="AK696" s="268"/>
      <c r="AL696" s="268"/>
      <c r="AM696" s="268"/>
      <c r="AN696" s="268"/>
      <c r="AO696" s="275"/>
      <c r="AP696" s="268"/>
      <c r="AQ696" s="268"/>
      <c r="AR696" s="268"/>
      <c r="AS696" s="268"/>
      <c r="AT696" s="268"/>
      <c r="AU696" s="275"/>
      <c r="AV696" s="268"/>
      <c r="AW696" s="268"/>
      <c r="AX696" s="268"/>
      <c r="AY696" s="268"/>
      <c r="AZ696" s="268"/>
      <c r="BA696" s="268"/>
      <c r="BB696" s="268"/>
      <c r="BC696" s="268"/>
    </row>
    <row r="697" spans="1:55" s="277" customFormat="1" ht="18" customHeight="1" x14ac:dyDescent="0.35">
      <c r="A697" s="274">
        <f>MATCH(B697,STUDIES!$A$3:$A$502,0)</f>
        <v>52</v>
      </c>
      <c r="B697" s="422" t="s">
        <v>1406</v>
      </c>
      <c r="C697" s="464"/>
      <c r="D697" s="311" t="s">
        <v>148</v>
      </c>
      <c r="E697" s="272" t="s">
        <v>154</v>
      </c>
      <c r="F697" s="155" t="str">
        <f>_xlfn.XLOOKUP(B697,STUDIES!$A$3:$A$1063,STUDIES!$G$3:$G$1063,"Not Found!")</f>
        <v>A</v>
      </c>
      <c r="G697" s="257" t="s">
        <v>147</v>
      </c>
      <c r="H697" s="257">
        <v>16</v>
      </c>
      <c r="I697" s="423">
        <v>55</v>
      </c>
      <c r="J697" s="424"/>
      <c r="K697" s="268"/>
      <c r="L697" s="268"/>
      <c r="M697" s="268"/>
      <c r="N697" s="268"/>
      <c r="O697" s="268"/>
      <c r="P697" s="268"/>
      <c r="Q697" s="282" t="s">
        <v>90</v>
      </c>
      <c r="R697" s="283">
        <v>-4.95</v>
      </c>
      <c r="S697" s="268">
        <v>0.752</v>
      </c>
      <c r="T697" s="268"/>
      <c r="U697" s="268"/>
      <c r="V697" s="268"/>
      <c r="W697" s="268"/>
      <c r="X697" s="276"/>
      <c r="Y697" s="268"/>
      <c r="Z697" s="268"/>
      <c r="AA697" s="268"/>
      <c r="AB697" s="268"/>
      <c r="AC697" s="268"/>
      <c r="AD697" s="276"/>
      <c r="AE697" s="268"/>
      <c r="AF697" s="268"/>
      <c r="AG697" s="268"/>
      <c r="AH697" s="268"/>
      <c r="AI697" s="268"/>
      <c r="AJ697" s="276"/>
      <c r="AK697" s="268"/>
      <c r="AL697" s="268"/>
      <c r="AM697" s="268"/>
      <c r="AN697" s="268"/>
      <c r="AO697" s="275"/>
      <c r="AP697" s="268"/>
      <c r="AQ697" s="268"/>
      <c r="AR697" s="268"/>
      <c r="AS697" s="268"/>
      <c r="AT697" s="268"/>
      <c r="AU697" s="275"/>
      <c r="AV697" s="268"/>
      <c r="AW697" s="268"/>
      <c r="AX697" s="268"/>
      <c r="AY697" s="268"/>
      <c r="AZ697" s="268"/>
      <c r="BA697" s="268"/>
      <c r="BB697" s="268"/>
      <c r="BC697" s="268"/>
    </row>
    <row r="698" spans="1:55" s="277" customFormat="1" ht="18" customHeight="1" x14ac:dyDescent="0.35">
      <c r="A698" s="274">
        <f>MATCH(B698,STUDIES!$A$3:$A$502,0)</f>
        <v>52</v>
      </c>
      <c r="B698" s="422" t="s">
        <v>1406</v>
      </c>
      <c r="C698" s="464"/>
      <c r="D698" s="311" t="s">
        <v>148</v>
      </c>
      <c r="E698" s="272" t="s">
        <v>153</v>
      </c>
      <c r="F698" s="155" t="str">
        <f>_xlfn.XLOOKUP(B698,STUDIES!$A$3:$A$1063,STUDIES!$G$3:$G$1063,"Not Found!")</f>
        <v>A</v>
      </c>
      <c r="G698" s="257" t="s">
        <v>147</v>
      </c>
      <c r="H698" s="257">
        <v>16</v>
      </c>
      <c r="I698" s="423">
        <v>55</v>
      </c>
      <c r="J698" s="424"/>
      <c r="K698" s="268"/>
      <c r="L698" s="268"/>
      <c r="M698" s="268"/>
      <c r="N698" s="268"/>
      <c r="O698" s="268"/>
      <c r="P698" s="268"/>
      <c r="Q698" s="282" t="s">
        <v>90</v>
      </c>
      <c r="R698" s="283">
        <v>-4.18</v>
      </c>
      <c r="S698" s="268">
        <v>0.90700000000000003</v>
      </c>
      <c r="T698" s="268"/>
      <c r="U698" s="268"/>
      <c r="V698" s="268"/>
      <c r="W698" s="268"/>
      <c r="X698" s="276"/>
      <c r="Y698" s="268"/>
      <c r="Z698" s="268"/>
      <c r="AA698" s="268"/>
      <c r="AB698" s="268"/>
      <c r="AC698" s="268"/>
      <c r="AD698" s="276"/>
      <c r="AE698" s="268"/>
      <c r="AF698" s="268"/>
      <c r="AG698" s="268"/>
      <c r="AH698" s="268"/>
      <c r="AI698" s="268"/>
      <c r="AJ698" s="276"/>
      <c r="AK698" s="268"/>
      <c r="AL698" s="268"/>
      <c r="AM698" s="268"/>
      <c r="AN698" s="268"/>
      <c r="AO698" s="275"/>
      <c r="AP698" s="268"/>
      <c r="AQ698" s="268"/>
      <c r="AR698" s="268"/>
      <c r="AS698" s="268"/>
      <c r="AT698" s="268"/>
      <c r="AU698" s="275"/>
      <c r="AV698" s="268" t="s">
        <v>1119</v>
      </c>
      <c r="AW698" s="268"/>
      <c r="AX698" s="268"/>
      <c r="AY698" s="268"/>
      <c r="AZ698" s="268"/>
      <c r="BA698" s="268"/>
      <c r="BB698" s="268"/>
      <c r="BC698" s="268"/>
    </row>
    <row r="699" spans="1:55" s="277" customFormat="1" ht="18" customHeight="1" x14ac:dyDescent="0.35">
      <c r="A699" s="274">
        <f>MATCH(B699,STUDIES!$A$3:$A$502,0)</f>
        <v>53</v>
      </c>
      <c r="B699" s="422" t="s">
        <v>1179</v>
      </c>
      <c r="C699" s="464"/>
      <c r="D699" s="281" t="s">
        <v>1056</v>
      </c>
      <c r="E699" s="272" t="s">
        <v>1163</v>
      </c>
      <c r="F699" s="155" t="str">
        <f>_xlfn.XLOOKUP(B699,STUDIES!$A$3:$A$1063,STUDIES!$G$3:$G$1063,"Not Found!")</f>
        <v>A</v>
      </c>
      <c r="G699" s="273" t="s">
        <v>147</v>
      </c>
      <c r="H699" s="273">
        <v>16</v>
      </c>
      <c r="I699" s="273">
        <v>242</v>
      </c>
      <c r="J699" s="274">
        <v>2</v>
      </c>
      <c r="K699" s="268"/>
      <c r="L699" s="268"/>
      <c r="M699" s="268"/>
      <c r="N699" s="268"/>
      <c r="O699" s="268"/>
      <c r="P699" s="268"/>
      <c r="Q699" s="282"/>
      <c r="R699" s="283"/>
      <c r="S699" s="268"/>
      <c r="T699" s="268"/>
      <c r="U699" s="268"/>
      <c r="V699" s="268"/>
      <c r="W699" s="268"/>
      <c r="X699" s="276"/>
      <c r="Y699" s="268"/>
      <c r="Z699" s="268"/>
      <c r="AA699" s="268"/>
      <c r="AB699" s="268"/>
      <c r="AC699" s="268"/>
      <c r="AD699" s="276"/>
      <c r="AE699" s="268"/>
      <c r="AF699" s="268"/>
      <c r="AG699" s="268"/>
      <c r="AH699" s="268"/>
      <c r="AI699" s="268"/>
      <c r="AJ699" s="276"/>
      <c r="AK699" s="268"/>
      <c r="AL699" s="268"/>
      <c r="AM699" s="268"/>
      <c r="AN699" s="268"/>
      <c r="AO699" s="275"/>
      <c r="AP699" s="268"/>
      <c r="AQ699" s="268"/>
      <c r="AR699" s="268"/>
      <c r="AS699" s="268"/>
      <c r="AT699" s="268"/>
      <c r="AU699" s="275"/>
      <c r="AV699" s="268"/>
      <c r="AW699" s="268"/>
      <c r="AX699" s="268"/>
      <c r="AY699" s="268"/>
      <c r="AZ699" s="268"/>
      <c r="BA699" s="268"/>
      <c r="BB699" s="268"/>
      <c r="BC699" s="268"/>
    </row>
    <row r="700" spans="1:55" s="277" customFormat="1" ht="18" customHeight="1" x14ac:dyDescent="0.35">
      <c r="A700" s="274">
        <f>MATCH(B700,STUDIES!$A$3:$A$502,0)</f>
        <v>53</v>
      </c>
      <c r="B700" s="422" t="s">
        <v>1179</v>
      </c>
      <c r="C700" s="464"/>
      <c r="D700" s="281" t="s">
        <v>148</v>
      </c>
      <c r="E700" s="272" t="s">
        <v>1163</v>
      </c>
      <c r="F700" s="155" t="str">
        <f>_xlfn.XLOOKUP(B700,STUDIES!$A$3:$A$1063,STUDIES!$G$3:$G$1063,"Not Found!")</f>
        <v>A</v>
      </c>
      <c r="G700" s="273" t="s">
        <v>147</v>
      </c>
      <c r="H700" s="273">
        <v>16</v>
      </c>
      <c r="I700" s="273">
        <v>131</v>
      </c>
      <c r="J700" s="274">
        <v>5</v>
      </c>
      <c r="K700" s="268"/>
      <c r="L700" s="268"/>
      <c r="M700" s="268"/>
      <c r="N700" s="268"/>
      <c r="O700" s="268"/>
      <c r="P700" s="268"/>
      <c r="Q700" s="282"/>
      <c r="R700" s="283"/>
      <c r="S700" s="268"/>
      <c r="T700" s="268"/>
      <c r="U700" s="268"/>
      <c r="V700" s="268"/>
      <c r="W700" s="268"/>
      <c r="X700" s="276"/>
      <c r="Y700" s="268"/>
      <c r="Z700" s="268"/>
      <c r="AA700" s="268"/>
      <c r="AB700" s="268"/>
      <c r="AC700" s="268"/>
      <c r="AD700" s="276"/>
      <c r="AE700" s="268"/>
      <c r="AF700" s="268"/>
      <c r="AG700" s="268"/>
      <c r="AH700" s="268"/>
      <c r="AI700" s="268"/>
      <c r="AJ700" s="276"/>
      <c r="AK700" s="268"/>
      <c r="AL700" s="268"/>
      <c r="AM700" s="268"/>
      <c r="AN700" s="268"/>
      <c r="AO700" s="275"/>
      <c r="AP700" s="268"/>
      <c r="AQ700" s="268"/>
      <c r="AR700" s="268"/>
      <c r="AS700" s="268"/>
      <c r="AT700" s="268"/>
      <c r="AU700" s="275"/>
      <c r="AV700" s="268"/>
      <c r="AW700" s="268"/>
      <c r="AX700" s="268"/>
      <c r="AY700" s="268"/>
      <c r="AZ700" s="268"/>
      <c r="BA700" s="268"/>
      <c r="BB700" s="268"/>
      <c r="BC700" s="268"/>
    </row>
    <row r="701" spans="1:55" s="277" customFormat="1" ht="18" customHeight="1" x14ac:dyDescent="0.35">
      <c r="A701" s="274">
        <f>MATCH(B701,STUDIES!$A$3:$A$502,0)</f>
        <v>53</v>
      </c>
      <c r="B701" s="422" t="s">
        <v>1179</v>
      </c>
      <c r="C701" s="464"/>
      <c r="D701" s="281" t="s">
        <v>1056</v>
      </c>
      <c r="E701" s="272" t="s">
        <v>1167</v>
      </c>
      <c r="F701" s="155" t="str">
        <f>_xlfn.XLOOKUP(B701,STUDIES!$A$3:$A$1063,STUDIES!$G$3:$G$1063,"Not Found!")</f>
        <v>A</v>
      </c>
      <c r="G701" s="273" t="s">
        <v>147</v>
      </c>
      <c r="H701" s="273">
        <v>16</v>
      </c>
      <c r="I701" s="273">
        <v>242</v>
      </c>
      <c r="J701" s="274">
        <v>6</v>
      </c>
      <c r="K701" s="268"/>
      <c r="L701" s="268"/>
      <c r="M701" s="268"/>
      <c r="N701" s="268"/>
      <c r="O701" s="268"/>
      <c r="P701" s="268"/>
      <c r="Q701" s="282"/>
      <c r="R701" s="283"/>
      <c r="S701" s="268"/>
      <c r="T701" s="268"/>
      <c r="U701" s="268"/>
      <c r="V701" s="268"/>
      <c r="W701" s="268"/>
      <c r="X701" s="276"/>
      <c r="Y701" s="268"/>
      <c r="Z701" s="268"/>
      <c r="AA701" s="268"/>
      <c r="AB701" s="268"/>
      <c r="AC701" s="268"/>
      <c r="AD701" s="276"/>
      <c r="AE701" s="268"/>
      <c r="AF701" s="268"/>
      <c r="AG701" s="268"/>
      <c r="AH701" s="268"/>
      <c r="AI701" s="268"/>
      <c r="AJ701" s="276"/>
      <c r="AK701" s="268"/>
      <c r="AL701" s="268"/>
      <c r="AM701" s="268"/>
      <c r="AN701" s="268"/>
      <c r="AO701" s="275"/>
      <c r="AP701" s="268"/>
      <c r="AQ701" s="268"/>
      <c r="AR701" s="268"/>
      <c r="AS701" s="268"/>
      <c r="AT701" s="268"/>
      <c r="AU701" s="275"/>
      <c r="AV701" s="268"/>
      <c r="AW701" s="268"/>
      <c r="AX701" s="268"/>
      <c r="AY701" s="268"/>
      <c r="AZ701" s="268"/>
      <c r="BA701" s="268"/>
      <c r="BB701" s="268"/>
      <c r="BC701" s="268"/>
    </row>
    <row r="702" spans="1:55" s="277" customFormat="1" ht="18" customHeight="1" x14ac:dyDescent="0.35">
      <c r="A702" s="274">
        <f>MATCH(B702,STUDIES!$A$3:$A$502,0)</f>
        <v>53</v>
      </c>
      <c r="B702" s="422" t="s">
        <v>1179</v>
      </c>
      <c r="C702" s="464"/>
      <c r="D702" s="281" t="s">
        <v>148</v>
      </c>
      <c r="E702" s="272" t="s">
        <v>1167</v>
      </c>
      <c r="F702" s="155" t="str">
        <f>_xlfn.XLOOKUP(B702,STUDIES!$A$3:$A$1063,STUDIES!$G$3:$G$1063,"Not Found!")</f>
        <v>A</v>
      </c>
      <c r="G702" s="273" t="s">
        <v>147</v>
      </c>
      <c r="H702" s="273">
        <v>16</v>
      </c>
      <c r="I702" s="273">
        <v>131</v>
      </c>
      <c r="J702" s="274">
        <v>5</v>
      </c>
      <c r="K702" s="268"/>
      <c r="L702" s="268"/>
      <c r="M702" s="268"/>
      <c r="N702" s="268"/>
      <c r="O702" s="268"/>
      <c r="P702" s="268"/>
      <c r="Q702" s="282"/>
      <c r="R702" s="283"/>
      <c r="S702" s="268"/>
      <c r="T702" s="268"/>
      <c r="U702" s="268"/>
      <c r="V702" s="268"/>
      <c r="W702" s="268"/>
      <c r="X702" s="276"/>
      <c r="Y702" s="268"/>
      <c r="Z702" s="268"/>
      <c r="AA702" s="268"/>
      <c r="AB702" s="268"/>
      <c r="AC702" s="268"/>
      <c r="AD702" s="276"/>
      <c r="AE702" s="268"/>
      <c r="AF702" s="268"/>
      <c r="AG702" s="268"/>
      <c r="AH702" s="268"/>
      <c r="AI702" s="268"/>
      <c r="AJ702" s="276"/>
      <c r="AK702" s="268"/>
      <c r="AL702" s="268"/>
      <c r="AM702" s="268"/>
      <c r="AN702" s="268"/>
      <c r="AO702" s="275"/>
      <c r="AP702" s="268"/>
      <c r="AQ702" s="268"/>
      <c r="AR702" s="268"/>
      <c r="AS702" s="268"/>
      <c r="AT702" s="268"/>
      <c r="AU702" s="275"/>
      <c r="AV702" s="268"/>
      <c r="AW702" s="268"/>
      <c r="AX702" s="268"/>
      <c r="AY702" s="268"/>
      <c r="AZ702" s="268"/>
      <c r="BA702" s="268"/>
      <c r="BB702" s="268"/>
      <c r="BC702" s="268"/>
    </row>
    <row r="703" spans="1:55" s="277" customFormat="1" ht="18" customHeight="1" x14ac:dyDescent="0.35">
      <c r="A703" s="274">
        <f>MATCH(B703,STUDIES!$A$3:$A$502,0)</f>
        <v>53</v>
      </c>
      <c r="B703" s="422" t="s">
        <v>1179</v>
      </c>
      <c r="C703" s="464"/>
      <c r="D703" s="311" t="s">
        <v>1088</v>
      </c>
      <c r="E703" s="272" t="s">
        <v>154</v>
      </c>
      <c r="F703" s="155" t="str">
        <f>_xlfn.XLOOKUP(B703,STUDIES!$A$3:$A$1063,STUDIES!$G$3:$G$1063,"Not Found!")</f>
        <v>A</v>
      </c>
      <c r="G703" s="257" t="s">
        <v>147</v>
      </c>
      <c r="H703" s="257">
        <v>16</v>
      </c>
      <c r="I703" s="423">
        <v>238</v>
      </c>
      <c r="J703" s="424"/>
      <c r="K703" s="268"/>
      <c r="L703" s="268"/>
      <c r="M703" s="268"/>
      <c r="N703" s="268"/>
      <c r="O703" s="268"/>
      <c r="P703" s="268"/>
      <c r="Q703" s="282" t="s">
        <v>90</v>
      </c>
      <c r="R703" s="283">
        <v>-9</v>
      </c>
      <c r="S703" s="268"/>
      <c r="T703" s="268"/>
      <c r="U703" s="268">
        <v>-9.6999999999999993</v>
      </c>
      <c r="V703" s="268">
        <v>-8.4</v>
      </c>
      <c r="W703" s="268">
        <v>0.95</v>
      </c>
      <c r="X703" s="276"/>
      <c r="Y703" s="268"/>
      <c r="Z703" s="268"/>
      <c r="AA703" s="268"/>
      <c r="AB703" s="268"/>
      <c r="AC703" s="268"/>
      <c r="AD703" s="276"/>
      <c r="AE703" s="268"/>
      <c r="AF703" s="268"/>
      <c r="AG703" s="268"/>
      <c r="AH703" s="268"/>
      <c r="AI703" s="268"/>
      <c r="AJ703" s="276"/>
      <c r="AK703" s="268"/>
      <c r="AL703" s="268"/>
      <c r="AM703" s="268"/>
      <c r="AN703" s="268"/>
      <c r="AO703" s="275"/>
      <c r="AP703" s="268"/>
      <c r="AQ703" s="268"/>
      <c r="AR703" s="268"/>
      <c r="AS703" s="268"/>
      <c r="AT703" s="268"/>
      <c r="AU703" s="275"/>
      <c r="AV703" s="268"/>
      <c r="AW703" s="268"/>
      <c r="AX703" s="268"/>
      <c r="AY703" s="268"/>
      <c r="AZ703" s="268"/>
      <c r="BA703" s="268"/>
      <c r="BB703" s="268"/>
      <c r="BC703" s="268"/>
    </row>
    <row r="704" spans="1:55" s="277" customFormat="1" ht="18" customHeight="1" x14ac:dyDescent="0.35">
      <c r="A704" s="274">
        <f>MATCH(B704,STUDIES!$A$3:$A$502,0)</f>
        <v>53</v>
      </c>
      <c r="B704" s="422" t="s">
        <v>1179</v>
      </c>
      <c r="C704" s="464"/>
      <c r="D704" s="311" t="s">
        <v>1088</v>
      </c>
      <c r="E704" s="272" t="s">
        <v>153</v>
      </c>
      <c r="F704" s="155" t="str">
        <f>_xlfn.XLOOKUP(B704,STUDIES!$A$3:$A$1063,STUDIES!$G$3:$G$1063,"Not Found!")</f>
        <v>A</v>
      </c>
      <c r="G704" s="257" t="s">
        <v>147</v>
      </c>
      <c r="H704" s="257">
        <v>16</v>
      </c>
      <c r="I704" s="423">
        <v>238</v>
      </c>
      <c r="J704" s="424"/>
      <c r="K704" s="268"/>
      <c r="L704" s="268"/>
      <c r="M704" s="268"/>
      <c r="N704" s="268"/>
      <c r="O704" s="268"/>
      <c r="P704" s="268"/>
      <c r="Q704" s="282" t="s">
        <v>90</v>
      </c>
      <c r="R704" s="283">
        <v>-9.1999999999999993</v>
      </c>
      <c r="S704" s="268"/>
      <c r="T704" s="268"/>
      <c r="U704" s="268">
        <v>-10.1</v>
      </c>
      <c r="V704" s="268">
        <v>-8.1999999999999993</v>
      </c>
      <c r="W704" s="268">
        <v>0.95</v>
      </c>
      <c r="X704" s="276"/>
      <c r="Y704" s="268"/>
      <c r="Z704" s="268"/>
      <c r="AA704" s="268"/>
      <c r="AB704" s="268"/>
      <c r="AC704" s="268"/>
      <c r="AD704" s="276"/>
      <c r="AE704" s="268"/>
      <c r="AF704" s="268"/>
      <c r="AG704" s="268"/>
      <c r="AH704" s="268"/>
      <c r="AI704" s="268"/>
      <c r="AJ704" s="276"/>
      <c r="AK704" s="268"/>
      <c r="AL704" s="268"/>
      <c r="AM704" s="268"/>
      <c r="AN704" s="268"/>
      <c r="AO704" s="275"/>
      <c r="AP704" s="268"/>
      <c r="AQ704" s="268"/>
      <c r="AR704" s="268"/>
      <c r="AS704" s="268"/>
      <c r="AT704" s="268"/>
      <c r="AU704" s="275"/>
      <c r="AV704" s="268"/>
      <c r="AW704" s="268"/>
      <c r="AX704" s="268"/>
      <c r="AY704" s="268"/>
      <c r="AZ704" s="268"/>
      <c r="BA704" s="268"/>
      <c r="BB704" s="268"/>
      <c r="BC704" s="268"/>
    </row>
    <row r="705" spans="1:55" s="277" customFormat="1" ht="18" customHeight="1" x14ac:dyDescent="0.35">
      <c r="A705" s="274">
        <f>MATCH(B705,STUDIES!$A$3:$A$502,0)</f>
        <v>53</v>
      </c>
      <c r="B705" s="422" t="s">
        <v>1179</v>
      </c>
      <c r="C705" s="464"/>
      <c r="D705" s="281" t="s">
        <v>1088</v>
      </c>
      <c r="E705" s="272" t="s">
        <v>1163</v>
      </c>
      <c r="F705" s="155" t="str">
        <f>_xlfn.XLOOKUP(B705,STUDIES!$A$3:$A$1063,STUDIES!$G$3:$G$1063,"Not Found!")</f>
        <v>A</v>
      </c>
      <c r="G705" s="273" t="s">
        <v>147</v>
      </c>
      <c r="H705" s="273">
        <v>16</v>
      </c>
      <c r="I705" s="273">
        <v>238</v>
      </c>
      <c r="J705" s="274">
        <v>6</v>
      </c>
      <c r="K705" s="268"/>
      <c r="L705" s="268"/>
      <c r="M705" s="268"/>
      <c r="N705" s="268"/>
      <c r="O705" s="268"/>
      <c r="P705" s="268"/>
      <c r="Q705" s="282"/>
      <c r="R705" s="283"/>
      <c r="S705" s="268"/>
      <c r="T705" s="268"/>
      <c r="U705" s="268"/>
      <c r="V705" s="268"/>
      <c r="W705" s="268"/>
      <c r="X705" s="276"/>
      <c r="Y705" s="268"/>
      <c r="Z705" s="268"/>
      <c r="AA705" s="268"/>
      <c r="AB705" s="268"/>
      <c r="AC705" s="268"/>
      <c r="AD705" s="276"/>
      <c r="AE705" s="268"/>
      <c r="AF705" s="268"/>
      <c r="AG705" s="268"/>
      <c r="AH705" s="268"/>
      <c r="AI705" s="268"/>
      <c r="AJ705" s="276"/>
      <c r="AK705" s="268"/>
      <c r="AL705" s="268"/>
      <c r="AM705" s="268"/>
      <c r="AN705" s="268"/>
      <c r="AO705" s="275"/>
      <c r="AP705" s="268"/>
      <c r="AQ705" s="268"/>
      <c r="AR705" s="268"/>
      <c r="AS705" s="268"/>
      <c r="AT705" s="268"/>
      <c r="AU705" s="275"/>
      <c r="AV705" s="268"/>
      <c r="AW705" s="268"/>
      <c r="AX705" s="268"/>
      <c r="AY705" s="268"/>
      <c r="AZ705" s="268"/>
      <c r="BA705" s="268"/>
      <c r="BB705" s="268"/>
      <c r="BC705" s="268"/>
    </row>
    <row r="706" spans="1:55" s="277" customFormat="1" ht="18" customHeight="1" x14ac:dyDescent="0.35">
      <c r="A706" s="274">
        <f>MATCH(B706,STUDIES!$A$3:$A$502,0)</f>
        <v>53</v>
      </c>
      <c r="B706" s="422" t="s">
        <v>1179</v>
      </c>
      <c r="C706" s="464"/>
      <c r="D706" s="281" t="s">
        <v>1088</v>
      </c>
      <c r="E706" s="272" t="s">
        <v>1167</v>
      </c>
      <c r="F706" s="155" t="str">
        <f>_xlfn.XLOOKUP(B706,STUDIES!$A$3:$A$1063,STUDIES!$G$3:$G$1063,"Not Found!")</f>
        <v>A</v>
      </c>
      <c r="G706" s="273" t="s">
        <v>147</v>
      </c>
      <c r="H706" s="273">
        <v>16</v>
      </c>
      <c r="I706" s="273">
        <v>238</v>
      </c>
      <c r="J706" s="274">
        <v>5</v>
      </c>
      <c r="K706" s="268"/>
      <c r="L706" s="268"/>
      <c r="M706" s="268"/>
      <c r="N706" s="268"/>
      <c r="O706" s="268"/>
      <c r="P706" s="268"/>
      <c r="Q706" s="282"/>
      <c r="R706" s="283"/>
      <c r="S706" s="268"/>
      <c r="T706" s="268"/>
      <c r="U706" s="268"/>
      <c r="V706" s="268"/>
      <c r="W706" s="268"/>
      <c r="X706" s="276"/>
      <c r="Y706" s="268"/>
      <c r="Z706" s="268"/>
      <c r="AA706" s="268"/>
      <c r="AB706" s="268"/>
      <c r="AC706" s="268"/>
      <c r="AD706" s="276"/>
      <c r="AE706" s="268"/>
      <c r="AF706" s="268"/>
      <c r="AG706" s="268"/>
      <c r="AH706" s="268"/>
      <c r="AI706" s="268"/>
      <c r="AJ706" s="276"/>
      <c r="AK706" s="268"/>
      <c r="AL706" s="268"/>
      <c r="AM706" s="268"/>
      <c r="AN706" s="268"/>
      <c r="AO706" s="275"/>
      <c r="AP706" s="268"/>
      <c r="AQ706" s="268"/>
      <c r="AR706" s="268"/>
      <c r="AS706" s="268"/>
      <c r="AT706" s="268"/>
      <c r="AU706" s="275"/>
      <c r="AV706" s="268"/>
      <c r="AW706" s="268"/>
      <c r="AX706" s="268"/>
      <c r="AY706" s="268"/>
      <c r="AZ706" s="268"/>
      <c r="BA706" s="268"/>
      <c r="BB706" s="268"/>
      <c r="BC706" s="268"/>
    </row>
    <row r="707" spans="1:55" s="277" customFormat="1" ht="18" customHeight="1" x14ac:dyDescent="0.35">
      <c r="A707" s="274">
        <f>MATCH(B707,STUDIES!$A$3:$A$502,0)</f>
        <v>53</v>
      </c>
      <c r="B707" s="422" t="s">
        <v>1179</v>
      </c>
      <c r="C707" s="464"/>
      <c r="D707" s="311" t="s">
        <v>1089</v>
      </c>
      <c r="E707" s="272" t="s">
        <v>154</v>
      </c>
      <c r="F707" s="155" t="str">
        <f>_xlfn.XLOOKUP(B707,STUDIES!$A$3:$A$1063,STUDIES!$G$3:$G$1063,"Not Found!")</f>
        <v>A</v>
      </c>
      <c r="G707" s="257" t="s">
        <v>147</v>
      </c>
      <c r="H707" s="273">
        <v>16</v>
      </c>
      <c r="I707" s="423">
        <v>226</v>
      </c>
      <c r="J707" s="424"/>
      <c r="K707" s="268"/>
      <c r="L707" s="268"/>
      <c r="M707" s="268"/>
      <c r="N707" s="268"/>
      <c r="O707" s="268"/>
      <c r="P707" s="268"/>
      <c r="Q707" s="282" t="s">
        <v>90</v>
      </c>
      <c r="R707" s="283">
        <v>-11.7</v>
      </c>
      <c r="S707" s="268"/>
      <c r="T707" s="268"/>
      <c r="U707" s="268">
        <v>-12.4</v>
      </c>
      <c r="V707" s="268">
        <v>-11.1</v>
      </c>
      <c r="W707" s="268">
        <v>0.95</v>
      </c>
      <c r="X707" s="276"/>
      <c r="Y707" s="268"/>
      <c r="Z707" s="268"/>
      <c r="AA707" s="268"/>
      <c r="AB707" s="268"/>
      <c r="AC707" s="268"/>
      <c r="AD707" s="276"/>
      <c r="AE707" s="268"/>
      <c r="AF707" s="268"/>
      <c r="AG707" s="268"/>
      <c r="AH707" s="268"/>
      <c r="AI707" s="268"/>
      <c r="AJ707" s="276"/>
      <c r="AK707" s="268"/>
      <c r="AL707" s="268"/>
      <c r="AM707" s="268"/>
      <c r="AN707" s="268"/>
      <c r="AO707" s="275"/>
      <c r="AP707" s="268"/>
      <c r="AQ707" s="268"/>
      <c r="AR707" s="268"/>
      <c r="AS707" s="268"/>
      <c r="AT707" s="268"/>
      <c r="AU707" s="275"/>
      <c r="AV707" s="268"/>
      <c r="AW707" s="268"/>
      <c r="AX707" s="268"/>
      <c r="AY707" s="268"/>
      <c r="AZ707" s="268"/>
      <c r="BA707" s="268"/>
      <c r="BB707" s="268"/>
      <c r="BC707" s="268"/>
    </row>
    <row r="708" spans="1:55" s="277" customFormat="1" ht="18" customHeight="1" x14ac:dyDescent="0.35">
      <c r="A708" s="274">
        <f>MATCH(B708,STUDIES!$A$3:$A$502,0)</f>
        <v>53</v>
      </c>
      <c r="B708" s="422" t="s">
        <v>1179</v>
      </c>
      <c r="C708" s="464"/>
      <c r="D708" s="311" t="s">
        <v>1089</v>
      </c>
      <c r="E708" s="272" t="s">
        <v>153</v>
      </c>
      <c r="F708" s="155" t="str">
        <f>_xlfn.XLOOKUP(B708,STUDIES!$A$3:$A$1063,STUDIES!$G$3:$G$1063,"Not Found!")</f>
        <v>A</v>
      </c>
      <c r="G708" s="257" t="s">
        <v>147</v>
      </c>
      <c r="H708" s="273">
        <v>16</v>
      </c>
      <c r="I708" s="423">
        <v>226</v>
      </c>
      <c r="J708" s="424"/>
      <c r="K708" s="268"/>
      <c r="L708" s="268"/>
      <c r="M708" s="268"/>
      <c r="N708" s="268"/>
      <c r="O708" s="268"/>
      <c r="P708" s="268"/>
      <c r="Q708" s="282" t="s">
        <v>90</v>
      </c>
      <c r="R708" s="283">
        <v>-12.5</v>
      </c>
      <c r="S708" s="268"/>
      <c r="T708" s="268"/>
      <c r="U708" s="268">
        <v>-13.4</v>
      </c>
      <c r="V708" s="268">
        <v>-11.6</v>
      </c>
      <c r="W708" s="268">
        <v>0.95</v>
      </c>
      <c r="X708" s="276"/>
      <c r="Y708" s="268"/>
      <c r="Z708" s="268"/>
      <c r="AA708" s="268"/>
      <c r="AB708" s="268"/>
      <c r="AC708" s="268"/>
      <c r="AD708" s="276"/>
      <c r="AE708" s="268"/>
      <c r="AF708" s="268"/>
      <c r="AG708" s="268"/>
      <c r="AH708" s="268"/>
      <c r="AI708" s="268"/>
      <c r="AJ708" s="276"/>
      <c r="AK708" s="268"/>
      <c r="AL708" s="268"/>
      <c r="AM708" s="268"/>
      <c r="AN708" s="268"/>
      <c r="AO708" s="275"/>
      <c r="AP708" s="268"/>
      <c r="AQ708" s="268"/>
      <c r="AR708" s="268"/>
      <c r="AS708" s="268"/>
      <c r="AT708" s="268"/>
      <c r="AU708" s="275"/>
      <c r="AV708" s="268"/>
      <c r="AW708" s="268"/>
      <c r="AX708" s="268"/>
      <c r="AY708" s="268"/>
      <c r="AZ708" s="268"/>
      <c r="BA708" s="268"/>
      <c r="BB708" s="268"/>
      <c r="BC708" s="268"/>
    </row>
    <row r="709" spans="1:55" s="277" customFormat="1" ht="18" customHeight="1" x14ac:dyDescent="0.35">
      <c r="A709" s="274">
        <f>MATCH(B709,STUDIES!$A$3:$A$502,0)</f>
        <v>53</v>
      </c>
      <c r="B709" s="422" t="s">
        <v>1179</v>
      </c>
      <c r="C709" s="464"/>
      <c r="D709" s="281" t="s">
        <v>1089</v>
      </c>
      <c r="E709" s="272" t="s">
        <v>1163</v>
      </c>
      <c r="F709" s="155" t="str">
        <f>_xlfn.XLOOKUP(B709,STUDIES!$A$3:$A$1063,STUDIES!$G$3:$G$1063,"Not Found!")</f>
        <v>A</v>
      </c>
      <c r="G709" s="273" t="s">
        <v>147</v>
      </c>
      <c r="H709" s="273">
        <v>16</v>
      </c>
      <c r="I709" s="273">
        <v>226</v>
      </c>
      <c r="J709" s="274">
        <v>2</v>
      </c>
      <c r="K709" s="268"/>
      <c r="L709" s="268"/>
      <c r="M709" s="268"/>
      <c r="N709" s="268"/>
      <c r="O709" s="268"/>
      <c r="P709" s="268"/>
      <c r="Q709" s="282"/>
      <c r="R709" s="283"/>
      <c r="S709" s="268"/>
      <c r="T709" s="268"/>
      <c r="U709" s="268"/>
      <c r="V709" s="268"/>
      <c r="W709" s="268"/>
      <c r="X709" s="276"/>
      <c r="Y709" s="268"/>
      <c r="Z709" s="268"/>
      <c r="AA709" s="268"/>
      <c r="AB709" s="268"/>
      <c r="AC709" s="268"/>
      <c r="AD709" s="276"/>
      <c r="AE709" s="268"/>
      <c r="AF709" s="268"/>
      <c r="AG709" s="268"/>
      <c r="AH709" s="268"/>
      <c r="AI709" s="268"/>
      <c r="AJ709" s="276"/>
      <c r="AK709" s="268"/>
      <c r="AL709" s="268"/>
      <c r="AM709" s="268"/>
      <c r="AN709" s="268"/>
      <c r="AO709" s="275"/>
      <c r="AP709" s="268"/>
      <c r="AQ709" s="268"/>
      <c r="AR709" s="268"/>
      <c r="AS709" s="268"/>
      <c r="AT709" s="268"/>
      <c r="AU709" s="275"/>
      <c r="AV709" s="268"/>
      <c r="AW709" s="268"/>
      <c r="AX709" s="268"/>
      <c r="AY709" s="268"/>
      <c r="AZ709" s="268"/>
      <c r="BA709" s="268"/>
      <c r="BB709" s="268"/>
      <c r="BC709" s="268"/>
    </row>
    <row r="710" spans="1:55" s="277" customFormat="1" ht="18" customHeight="1" x14ac:dyDescent="0.35">
      <c r="A710" s="274">
        <f>MATCH(B710,STUDIES!$A$3:$A$502,0)</f>
        <v>53</v>
      </c>
      <c r="B710" s="422" t="s">
        <v>1179</v>
      </c>
      <c r="C710" s="464"/>
      <c r="D710" s="281" t="s">
        <v>1089</v>
      </c>
      <c r="E710" s="272" t="s">
        <v>1167</v>
      </c>
      <c r="F710" s="155" t="str">
        <f>_xlfn.XLOOKUP(B710,STUDIES!$A$3:$A$1063,STUDIES!$G$3:$G$1063,"Not Found!")</f>
        <v>A</v>
      </c>
      <c r="G710" s="273" t="s">
        <v>147</v>
      </c>
      <c r="H710" s="273">
        <v>16</v>
      </c>
      <c r="I710" s="273">
        <v>226</v>
      </c>
      <c r="J710" s="274">
        <v>8</v>
      </c>
      <c r="K710" s="268"/>
      <c r="L710" s="268"/>
      <c r="M710" s="268"/>
      <c r="N710" s="268"/>
      <c r="O710" s="268"/>
      <c r="P710" s="268"/>
      <c r="Q710" s="282"/>
      <c r="R710" s="283"/>
      <c r="S710" s="268"/>
      <c r="T710" s="268"/>
      <c r="U710" s="268"/>
      <c r="V710" s="268"/>
      <c r="W710" s="268"/>
      <c r="X710" s="276"/>
      <c r="Y710" s="268"/>
      <c r="Z710" s="268"/>
      <c r="AA710" s="268"/>
      <c r="AB710" s="268"/>
      <c r="AC710" s="268"/>
      <c r="AD710" s="276"/>
      <c r="AE710" s="268"/>
      <c r="AF710" s="268"/>
      <c r="AG710" s="268"/>
      <c r="AH710" s="268"/>
      <c r="AI710" s="268"/>
      <c r="AJ710" s="276"/>
      <c r="AK710" s="268"/>
      <c r="AL710" s="268"/>
      <c r="AM710" s="268"/>
      <c r="AN710" s="268"/>
      <c r="AO710" s="275"/>
      <c r="AP710" s="268"/>
      <c r="AQ710" s="268"/>
      <c r="AR710" s="268"/>
      <c r="AS710" s="268"/>
      <c r="AT710" s="268"/>
      <c r="AU710" s="275"/>
      <c r="AV710" s="268"/>
      <c r="AW710" s="268"/>
      <c r="AX710" s="268"/>
      <c r="AY710" s="268"/>
      <c r="AZ710" s="268"/>
      <c r="BA710" s="268"/>
      <c r="BB710" s="268"/>
      <c r="BC710" s="268"/>
    </row>
    <row r="711" spans="1:55" s="277" customFormat="1" ht="18" customHeight="1" x14ac:dyDescent="0.35">
      <c r="A711" s="274">
        <f>MATCH(B711,STUDIES!$A$3:$A$502,0)</f>
        <v>53</v>
      </c>
      <c r="B711" s="422" t="s">
        <v>1179</v>
      </c>
      <c r="C711" s="464"/>
      <c r="D711" s="308" t="s">
        <v>1056</v>
      </c>
      <c r="E711" s="272" t="s">
        <v>154</v>
      </c>
      <c r="F711" s="155" t="str">
        <f>_xlfn.XLOOKUP(B711,STUDIES!$A$3:$A$1063,STUDIES!$G$3:$G$1063,"Not Found!")</f>
        <v>A</v>
      </c>
      <c r="G711" s="257" t="s">
        <v>147</v>
      </c>
      <c r="H711" s="257">
        <v>16</v>
      </c>
      <c r="I711" s="423">
        <v>241</v>
      </c>
      <c r="J711" s="424"/>
      <c r="K711" s="268"/>
      <c r="L711" s="268"/>
      <c r="M711" s="268"/>
      <c r="N711" s="268"/>
      <c r="O711" s="268"/>
      <c r="P711" s="268"/>
      <c r="Q711" s="282" t="s">
        <v>90</v>
      </c>
      <c r="R711" s="283">
        <v>-10.8</v>
      </c>
      <c r="S711" s="268"/>
      <c r="T711" s="268"/>
      <c r="U711" s="268">
        <v>-11.4</v>
      </c>
      <c r="V711" s="268">
        <v>-10.1</v>
      </c>
      <c r="W711" s="268">
        <v>0.95</v>
      </c>
      <c r="X711" s="276"/>
      <c r="Y711" s="268"/>
      <c r="Z711" s="268"/>
      <c r="AA711" s="268"/>
      <c r="AB711" s="268"/>
      <c r="AC711" s="268"/>
      <c r="AD711" s="276"/>
      <c r="AE711" s="268"/>
      <c r="AF711" s="268"/>
      <c r="AG711" s="268"/>
      <c r="AH711" s="268"/>
      <c r="AI711" s="268"/>
      <c r="AJ711" s="276"/>
      <c r="AK711" s="268"/>
      <c r="AL711" s="268"/>
      <c r="AM711" s="268"/>
      <c r="AN711" s="268"/>
      <c r="AO711" s="275"/>
      <c r="AP711" s="268"/>
      <c r="AQ711" s="268"/>
      <c r="AR711" s="268"/>
      <c r="AS711" s="268"/>
      <c r="AT711" s="268"/>
      <c r="AU711" s="275"/>
      <c r="AV711" s="268"/>
      <c r="AW711" s="268"/>
      <c r="AX711" s="268"/>
      <c r="AY711" s="268"/>
      <c r="AZ711" s="268"/>
      <c r="BA711" s="268"/>
      <c r="BB711" s="268"/>
      <c r="BC711" s="268"/>
    </row>
    <row r="712" spans="1:55" s="277" customFormat="1" ht="18" customHeight="1" x14ac:dyDescent="0.35">
      <c r="A712" s="274">
        <f>MATCH(B712,STUDIES!$A$3:$A$502,0)</f>
        <v>53</v>
      </c>
      <c r="B712" s="422" t="s">
        <v>1179</v>
      </c>
      <c r="C712" s="464"/>
      <c r="D712" s="308" t="s">
        <v>1056</v>
      </c>
      <c r="E712" s="272" t="s">
        <v>153</v>
      </c>
      <c r="F712" s="155" t="str">
        <f>_xlfn.XLOOKUP(B712,STUDIES!$A$3:$A$1063,STUDIES!$G$3:$G$1063,"Not Found!")</f>
        <v>A</v>
      </c>
      <c r="G712" s="257" t="s">
        <v>147</v>
      </c>
      <c r="H712" s="257">
        <v>16</v>
      </c>
      <c r="I712" s="423">
        <v>241</v>
      </c>
      <c r="J712" s="424"/>
      <c r="K712" s="268"/>
      <c r="L712" s="268"/>
      <c r="M712" s="268"/>
      <c r="N712" s="268"/>
      <c r="O712" s="268"/>
      <c r="P712" s="268"/>
      <c r="Q712" s="282" t="s">
        <v>90</v>
      </c>
      <c r="R712" s="283">
        <v>-10.8</v>
      </c>
      <c r="S712" s="268"/>
      <c r="T712" s="268"/>
      <c r="U712" s="268">
        <v>-11.8</v>
      </c>
      <c r="V712" s="268">
        <v>-9.9</v>
      </c>
      <c r="W712" s="268">
        <v>0.95</v>
      </c>
      <c r="X712" s="276"/>
      <c r="Y712" s="268"/>
      <c r="Z712" s="268"/>
      <c r="AA712" s="268"/>
      <c r="AB712" s="268"/>
      <c r="AC712" s="268"/>
      <c r="AD712" s="276"/>
      <c r="AE712" s="268"/>
      <c r="AF712" s="268"/>
      <c r="AG712" s="268"/>
      <c r="AH712" s="268"/>
      <c r="AI712" s="268"/>
      <c r="AJ712" s="276"/>
      <c r="AK712" s="268"/>
      <c r="AL712" s="268"/>
      <c r="AM712" s="268"/>
      <c r="AN712" s="268"/>
      <c r="AO712" s="275"/>
      <c r="AP712" s="268"/>
      <c r="AQ712" s="268"/>
      <c r="AR712" s="268"/>
      <c r="AS712" s="268"/>
      <c r="AT712" s="268"/>
      <c r="AU712" s="275"/>
      <c r="AV712" s="268"/>
      <c r="AW712" s="268"/>
      <c r="AX712" s="268"/>
      <c r="AY712" s="268"/>
      <c r="AZ712" s="268"/>
      <c r="BA712" s="268"/>
      <c r="BB712" s="268"/>
      <c r="BC712" s="268"/>
    </row>
    <row r="713" spans="1:55" s="277" customFormat="1" ht="18" customHeight="1" x14ac:dyDescent="0.35">
      <c r="A713" s="274">
        <f>MATCH(B713,STUDIES!$A$3:$A$502,0)</f>
        <v>53</v>
      </c>
      <c r="B713" s="422" t="s">
        <v>1179</v>
      </c>
      <c r="C713" s="464"/>
      <c r="D713" s="311" t="s">
        <v>148</v>
      </c>
      <c r="E713" s="272" t="s">
        <v>154</v>
      </c>
      <c r="F713" s="155" t="str">
        <f>_xlfn.XLOOKUP(B713,STUDIES!$A$3:$A$1063,STUDIES!$G$3:$G$1063,"Not Found!")</f>
        <v>A</v>
      </c>
      <c r="G713" s="257" t="s">
        <v>147</v>
      </c>
      <c r="H713" s="257">
        <v>16</v>
      </c>
      <c r="I713" s="423">
        <v>131</v>
      </c>
      <c r="J713" s="424"/>
      <c r="K713" s="268"/>
      <c r="L713" s="268"/>
      <c r="M713" s="268"/>
      <c r="N713" s="268"/>
      <c r="O713" s="268"/>
      <c r="P713" s="268"/>
      <c r="Q713" s="282" t="s">
        <v>90</v>
      </c>
      <c r="R713" s="283">
        <v>-6.2</v>
      </c>
      <c r="S713" s="268"/>
      <c r="T713" s="268"/>
      <c r="U713" s="268">
        <v>-7.1</v>
      </c>
      <c r="V713" s="268">
        <v>-5.3</v>
      </c>
      <c r="W713" s="268">
        <v>0.95</v>
      </c>
      <c r="X713" s="276"/>
      <c r="Y713" s="268"/>
      <c r="Z713" s="268"/>
      <c r="AA713" s="268"/>
      <c r="AB713" s="268"/>
      <c r="AC713" s="268"/>
      <c r="AD713" s="276"/>
      <c r="AE713" s="268"/>
      <c r="AF713" s="268"/>
      <c r="AG713" s="268"/>
      <c r="AH713" s="268"/>
      <c r="AI713" s="268"/>
      <c r="AJ713" s="276"/>
      <c r="AK713" s="268"/>
      <c r="AL713" s="268"/>
      <c r="AM713" s="268"/>
      <c r="AN713" s="268"/>
      <c r="AO713" s="275"/>
      <c r="AP713" s="268"/>
      <c r="AQ713" s="268"/>
      <c r="AR713" s="268"/>
      <c r="AS713" s="268"/>
      <c r="AT713" s="268"/>
      <c r="AU713" s="275"/>
      <c r="AV713" s="268"/>
      <c r="AW713" s="268"/>
      <c r="AX713" s="268"/>
      <c r="AY713" s="268"/>
      <c r="AZ713" s="268"/>
      <c r="BA713" s="268"/>
      <c r="BB713" s="268"/>
      <c r="BC713" s="268"/>
    </row>
    <row r="714" spans="1:55" s="277" customFormat="1" ht="18" customHeight="1" x14ac:dyDescent="0.35">
      <c r="A714" s="274">
        <f>MATCH(B714,STUDIES!$A$3:$A$502,0)</f>
        <v>53</v>
      </c>
      <c r="B714" s="422" t="s">
        <v>1179</v>
      </c>
      <c r="C714" s="464"/>
      <c r="D714" s="311" t="s">
        <v>148</v>
      </c>
      <c r="E714" s="272" t="s">
        <v>153</v>
      </c>
      <c r="F714" s="155" t="str">
        <f>_xlfn.XLOOKUP(B714,STUDIES!$A$3:$A$1063,STUDIES!$G$3:$G$1063,"Not Found!")</f>
        <v>A</v>
      </c>
      <c r="G714" s="257" t="s">
        <v>147</v>
      </c>
      <c r="H714" s="257">
        <v>16</v>
      </c>
      <c r="I714" s="423">
        <v>131</v>
      </c>
      <c r="J714" s="424"/>
      <c r="K714" s="268"/>
      <c r="L714" s="268"/>
      <c r="M714" s="268"/>
      <c r="N714" s="268"/>
      <c r="O714" s="268"/>
      <c r="P714" s="268"/>
      <c r="Q714" s="282" t="s">
        <v>90</v>
      </c>
      <c r="R714" s="283">
        <v>-5</v>
      </c>
      <c r="S714" s="268"/>
      <c r="T714" s="268"/>
      <c r="U714" s="268">
        <v>-6.3</v>
      </c>
      <c r="V714" s="268">
        <v>-3.8</v>
      </c>
      <c r="W714" s="268">
        <v>0.95</v>
      </c>
      <c r="X714" s="276"/>
      <c r="Y714" s="268"/>
      <c r="Z714" s="268"/>
      <c r="AA714" s="268"/>
      <c r="AB714" s="268"/>
      <c r="AC714" s="268"/>
      <c r="AD714" s="276"/>
      <c r="AE714" s="268"/>
      <c r="AF714" s="268"/>
      <c r="AG714" s="268"/>
      <c r="AH714" s="268"/>
      <c r="AI714" s="268"/>
      <c r="AJ714" s="276"/>
      <c r="AK714" s="268"/>
      <c r="AL714" s="268"/>
      <c r="AM714" s="268"/>
      <c r="AN714" s="268"/>
      <c r="AO714" s="275"/>
      <c r="AP714" s="268"/>
      <c r="AQ714" s="268"/>
      <c r="AR714" s="268"/>
      <c r="AS714" s="268"/>
      <c r="AT714" s="268"/>
      <c r="AU714" s="275"/>
      <c r="AV714" s="268"/>
      <c r="AW714" s="268"/>
      <c r="AX714" s="268"/>
      <c r="AY714" s="268"/>
      <c r="AZ714" s="268"/>
      <c r="BA714" s="268"/>
      <c r="BB714" s="268"/>
      <c r="BC714" s="268"/>
    </row>
    <row r="715" spans="1:55" s="277" customFormat="1" ht="18" customHeight="1" x14ac:dyDescent="0.35">
      <c r="A715" s="274">
        <f>MATCH(B715,STUDIES!$A$3:$A$502,0)</f>
        <v>53</v>
      </c>
      <c r="B715" s="272" t="s">
        <v>1179</v>
      </c>
      <c r="C715" s="435"/>
      <c r="D715" s="281" t="s">
        <v>1089</v>
      </c>
      <c r="E715" s="272" t="s">
        <v>151</v>
      </c>
      <c r="F715" s="155" t="str">
        <f>_xlfn.XLOOKUP(B715,STUDIES!$A$3:$A$1063,STUDIES!$G$3:$G$1063,"Not Found!")</f>
        <v>A</v>
      </c>
      <c r="G715" s="273" t="s">
        <v>147</v>
      </c>
      <c r="H715" s="273">
        <v>12</v>
      </c>
      <c r="I715" s="273">
        <v>226</v>
      </c>
      <c r="J715" s="274"/>
      <c r="K715" s="268">
        <v>32.1</v>
      </c>
      <c r="L715" s="268">
        <v>13.1</v>
      </c>
      <c r="M715" s="268"/>
      <c r="N715" s="268"/>
      <c r="O715" s="268"/>
      <c r="P715" s="268"/>
      <c r="Q715" s="282"/>
      <c r="R715" s="283"/>
      <c r="S715" s="268"/>
      <c r="T715" s="268"/>
      <c r="U715" s="268"/>
      <c r="V715" s="268"/>
      <c r="W715" s="268"/>
      <c r="X715" s="276"/>
      <c r="Y715" s="268"/>
      <c r="Z715" s="268"/>
      <c r="AA715" s="268"/>
      <c r="AB715" s="268"/>
      <c r="AC715" s="268"/>
      <c r="AD715" s="276"/>
      <c r="AE715" s="268"/>
      <c r="AF715" s="268"/>
      <c r="AG715" s="268"/>
      <c r="AH715" s="268"/>
      <c r="AI715" s="268"/>
      <c r="AJ715" s="276">
        <v>-80.599999999999994</v>
      </c>
      <c r="AK715" s="268"/>
      <c r="AL715" s="268"/>
      <c r="AM715" s="268">
        <v>-84.3</v>
      </c>
      <c r="AN715" s="268">
        <v>-77</v>
      </c>
      <c r="AO715" s="275">
        <v>0.95</v>
      </c>
      <c r="AP715" s="268"/>
      <c r="AQ715" s="268"/>
      <c r="AR715" s="268"/>
      <c r="AS715" s="268"/>
      <c r="AT715" s="268"/>
      <c r="AU715" s="275"/>
      <c r="AV715" s="268"/>
      <c r="AW715" s="268"/>
      <c r="AX715" s="268"/>
      <c r="AY715" s="268"/>
      <c r="AZ715" s="268"/>
      <c r="BA715" s="268"/>
      <c r="BB715" s="268"/>
      <c r="BC715" s="268"/>
    </row>
    <row r="716" spans="1:55" s="277" customFormat="1" ht="18" customHeight="1" x14ac:dyDescent="0.35">
      <c r="A716" s="274">
        <f>MATCH(B716,STUDIES!$A$3:$A$502,0)</f>
        <v>53</v>
      </c>
      <c r="B716" s="272" t="s">
        <v>1179</v>
      </c>
      <c r="C716" s="435"/>
      <c r="D716" s="281" t="s">
        <v>1088</v>
      </c>
      <c r="E716" s="272" t="s">
        <v>151</v>
      </c>
      <c r="F716" s="155" t="str">
        <f>_xlfn.XLOOKUP(B716,STUDIES!$A$3:$A$1063,STUDIES!$G$3:$G$1063,"Not Found!")</f>
        <v>A</v>
      </c>
      <c r="G716" s="273" t="s">
        <v>147</v>
      </c>
      <c r="H716" s="273">
        <v>12</v>
      </c>
      <c r="I716" s="273">
        <v>238</v>
      </c>
      <c r="J716" s="274"/>
      <c r="K716" s="268">
        <v>30.3</v>
      </c>
      <c r="L716" s="268">
        <v>13.5</v>
      </c>
      <c r="M716" s="268"/>
      <c r="N716" s="268"/>
      <c r="O716" s="268"/>
      <c r="P716" s="268"/>
      <c r="Q716" s="282"/>
      <c r="R716" s="283"/>
      <c r="S716" s="268"/>
      <c r="T716" s="268"/>
      <c r="U716" s="268"/>
      <c r="V716" s="268"/>
      <c r="W716" s="268"/>
      <c r="X716" s="276"/>
      <c r="Y716" s="268"/>
      <c r="Z716" s="268"/>
      <c r="AA716" s="268"/>
      <c r="AB716" s="268"/>
      <c r="AC716" s="268"/>
      <c r="AD716" s="276"/>
      <c r="AE716" s="268"/>
      <c r="AF716" s="268"/>
      <c r="AG716" s="268"/>
      <c r="AH716" s="268"/>
      <c r="AI716" s="268"/>
      <c r="AJ716" s="276">
        <v>-73.8</v>
      </c>
      <c r="AK716" s="268"/>
      <c r="AL716" s="268"/>
      <c r="AM716" s="268">
        <v>-77.400000000000006</v>
      </c>
      <c r="AN716" s="268">
        <v>-70.2</v>
      </c>
      <c r="AO716" s="275">
        <v>0.95</v>
      </c>
      <c r="AP716" s="268"/>
      <c r="AQ716" s="268"/>
      <c r="AR716" s="268"/>
      <c r="AS716" s="268"/>
      <c r="AT716" s="268"/>
      <c r="AU716" s="275"/>
      <c r="AV716" s="268"/>
      <c r="AW716" s="268"/>
      <c r="AX716" s="268"/>
      <c r="AY716" s="268"/>
      <c r="AZ716" s="268"/>
      <c r="BA716" s="268"/>
      <c r="BB716" s="268"/>
      <c r="BC716" s="268"/>
    </row>
    <row r="717" spans="1:55" s="277" customFormat="1" ht="18" customHeight="1" x14ac:dyDescent="0.35">
      <c r="A717" s="274">
        <f>MATCH(B717,STUDIES!$A$3:$A$502,0)</f>
        <v>53</v>
      </c>
      <c r="B717" s="272" t="s">
        <v>1179</v>
      </c>
      <c r="C717" s="435"/>
      <c r="D717" s="281" t="s">
        <v>1056</v>
      </c>
      <c r="E717" s="272" t="s">
        <v>151</v>
      </c>
      <c r="F717" s="155" t="str">
        <f>_xlfn.XLOOKUP(B717,STUDIES!$A$3:$A$1063,STUDIES!$G$3:$G$1063,"Not Found!")</f>
        <v>A</v>
      </c>
      <c r="G717" s="273" t="s">
        <v>147</v>
      </c>
      <c r="H717" s="273">
        <v>12</v>
      </c>
      <c r="I717" s="273">
        <v>242</v>
      </c>
      <c r="J717" s="274"/>
      <c r="K717" s="268">
        <v>30.4</v>
      </c>
      <c r="L717" s="268">
        <v>12</v>
      </c>
      <c r="M717" s="268"/>
      <c r="N717" s="268"/>
      <c r="O717" s="268"/>
      <c r="P717" s="268"/>
      <c r="Q717" s="282"/>
      <c r="R717" s="283"/>
      <c r="S717" s="268"/>
      <c r="T717" s="268"/>
      <c r="U717" s="268"/>
      <c r="V717" s="268"/>
      <c r="W717" s="268"/>
      <c r="X717" s="276"/>
      <c r="Y717" s="268"/>
      <c r="Z717" s="268"/>
      <c r="AA717" s="268"/>
      <c r="AB717" s="268"/>
      <c r="AC717" s="268"/>
      <c r="AD717" s="276"/>
      <c r="AE717" s="268"/>
      <c r="AF717" s="268"/>
      <c r="AG717" s="268"/>
      <c r="AH717" s="268"/>
      <c r="AI717" s="268"/>
      <c r="AJ717" s="276">
        <v>-75.400000000000006</v>
      </c>
      <c r="AK717" s="268"/>
      <c r="AL717" s="268"/>
      <c r="AM717" s="268">
        <v>-79</v>
      </c>
      <c r="AN717" s="268">
        <v>-71.900000000000006</v>
      </c>
      <c r="AO717" s="275">
        <v>0.95</v>
      </c>
      <c r="AP717" s="268"/>
      <c r="AQ717" s="268"/>
      <c r="AR717" s="268"/>
      <c r="AS717" s="268"/>
      <c r="AT717" s="268"/>
      <c r="AU717" s="275"/>
      <c r="AV717" s="268"/>
      <c r="AW717" s="268"/>
      <c r="AX717" s="268"/>
      <c r="AY717" s="268"/>
      <c r="AZ717" s="268"/>
      <c r="BA717" s="268"/>
      <c r="BB717" s="268"/>
      <c r="BC717" s="268"/>
    </row>
    <row r="718" spans="1:55" s="277" customFormat="1" ht="18" customHeight="1" x14ac:dyDescent="0.35">
      <c r="A718" s="274">
        <f>MATCH(B718,STUDIES!$A$3:$A$502,0)</f>
        <v>53</v>
      </c>
      <c r="B718" s="272" t="s">
        <v>1179</v>
      </c>
      <c r="C718" s="435"/>
      <c r="D718" s="281" t="s">
        <v>148</v>
      </c>
      <c r="E718" s="272" t="s">
        <v>151</v>
      </c>
      <c r="F718" s="155" t="str">
        <f>_xlfn.XLOOKUP(B718,STUDIES!$A$3:$A$1063,STUDIES!$G$3:$G$1063,"Not Found!")</f>
        <v>A</v>
      </c>
      <c r="G718" s="273" t="s">
        <v>147</v>
      </c>
      <c r="H718" s="273">
        <v>12</v>
      </c>
      <c r="I718" s="273">
        <v>131</v>
      </c>
      <c r="J718" s="274"/>
      <c r="K718" s="268">
        <v>31</v>
      </c>
      <c r="L718" s="268">
        <v>12.6</v>
      </c>
      <c r="M718" s="268"/>
      <c r="N718" s="268"/>
      <c r="O718" s="268"/>
      <c r="P718" s="268"/>
      <c r="Q718" s="282"/>
      <c r="R718" s="283"/>
      <c r="S718" s="268"/>
      <c r="T718" s="268"/>
      <c r="U718" s="268"/>
      <c r="V718" s="268"/>
      <c r="W718" s="268"/>
      <c r="X718" s="276"/>
      <c r="Y718" s="268"/>
      <c r="Z718" s="268"/>
      <c r="AA718" s="268"/>
      <c r="AB718" s="268"/>
      <c r="AC718" s="268"/>
      <c r="AD718" s="276"/>
      <c r="AE718" s="268"/>
      <c r="AF718" s="268"/>
      <c r="AG718" s="268"/>
      <c r="AH718" s="268"/>
      <c r="AI718" s="268"/>
      <c r="AJ718" s="276">
        <v>-47.7</v>
      </c>
      <c r="AK718" s="268"/>
      <c r="AL718" s="268"/>
      <c r="AM718" s="268">
        <v>-52.6</v>
      </c>
      <c r="AN718" s="268">
        <v>-42.9</v>
      </c>
      <c r="AO718" s="275">
        <v>0.95</v>
      </c>
      <c r="AP718" s="268"/>
      <c r="AQ718" s="268"/>
      <c r="AR718" s="268"/>
      <c r="AS718" s="268"/>
      <c r="AT718" s="268"/>
      <c r="AU718" s="275"/>
      <c r="AV718" s="268"/>
      <c r="AW718" s="268"/>
      <c r="AX718" s="268"/>
      <c r="AY718" s="268"/>
      <c r="AZ718" s="268"/>
      <c r="BA718" s="268"/>
      <c r="BB718" s="268"/>
      <c r="BC718" s="268"/>
    </row>
    <row r="719" spans="1:55" s="277" customFormat="1" ht="18" customHeight="1" x14ac:dyDescent="0.35">
      <c r="A719" s="274">
        <f>MATCH(B719,STUDIES!$A$3:$A$502,0)</f>
        <v>53</v>
      </c>
      <c r="B719" s="272" t="s">
        <v>1179</v>
      </c>
      <c r="C719" s="435"/>
      <c r="D719" s="281" t="s">
        <v>1089</v>
      </c>
      <c r="E719" s="272" t="s">
        <v>297</v>
      </c>
      <c r="F719" s="155" t="str">
        <f>_xlfn.XLOOKUP(B719,STUDIES!$A$3:$A$1063,STUDIES!$G$3:$G$1063,"Not Found!")</f>
        <v>A</v>
      </c>
      <c r="G719" s="273" t="s">
        <v>147</v>
      </c>
      <c r="H719" s="273">
        <v>16</v>
      </c>
      <c r="I719" s="273">
        <v>225</v>
      </c>
      <c r="J719" s="274"/>
      <c r="K719" s="268"/>
      <c r="L719" s="268"/>
      <c r="M719" s="268"/>
      <c r="N719" s="268"/>
      <c r="O719" s="268"/>
      <c r="P719" s="268"/>
      <c r="Q719" s="282"/>
      <c r="R719" s="283">
        <v>-4.8</v>
      </c>
      <c r="S719" s="268"/>
      <c r="T719" s="268"/>
      <c r="U719" s="268">
        <v>-5.0999999999999996</v>
      </c>
      <c r="V719" s="268">
        <v>-4.5</v>
      </c>
      <c r="W719" s="268">
        <v>0.95</v>
      </c>
      <c r="X719" s="276"/>
      <c r="Y719" s="268"/>
      <c r="Z719" s="268"/>
      <c r="AA719" s="268"/>
      <c r="AB719" s="268"/>
      <c r="AC719" s="268"/>
      <c r="AD719" s="276"/>
      <c r="AE719" s="268"/>
      <c r="AF719" s="268"/>
      <c r="AG719" s="268"/>
      <c r="AH719" s="268"/>
      <c r="AI719" s="268"/>
      <c r="AJ719" s="276"/>
      <c r="AK719" s="268"/>
      <c r="AL719" s="268"/>
      <c r="AM719" s="268"/>
      <c r="AN719" s="268"/>
      <c r="AO719" s="275"/>
      <c r="AP719" s="268"/>
      <c r="AQ719" s="268"/>
      <c r="AR719" s="268"/>
      <c r="AS719" s="268"/>
      <c r="AT719" s="268"/>
      <c r="AU719" s="275"/>
      <c r="AV719" s="268"/>
      <c r="AW719" s="268"/>
      <c r="AX719" s="268"/>
      <c r="AY719" s="268"/>
      <c r="AZ719" s="268"/>
      <c r="BA719" s="268"/>
      <c r="BB719" s="268"/>
      <c r="BC719" s="268"/>
    </row>
    <row r="720" spans="1:55" s="277" customFormat="1" ht="18" customHeight="1" x14ac:dyDescent="0.35">
      <c r="A720" s="274">
        <f>MATCH(B720,STUDIES!$A$3:$A$502,0)</f>
        <v>53</v>
      </c>
      <c r="B720" s="272" t="s">
        <v>1179</v>
      </c>
      <c r="C720" s="435"/>
      <c r="D720" s="281" t="s">
        <v>1088</v>
      </c>
      <c r="E720" s="272" t="s">
        <v>297</v>
      </c>
      <c r="F720" s="155" t="str">
        <f>_xlfn.XLOOKUP(B720,STUDIES!$A$3:$A$1063,STUDIES!$G$3:$G$1063,"Not Found!")</f>
        <v>A</v>
      </c>
      <c r="G720" s="273" t="s">
        <v>147</v>
      </c>
      <c r="H720" s="273">
        <v>16</v>
      </c>
      <c r="I720" s="273">
        <v>237</v>
      </c>
      <c r="J720" s="274"/>
      <c r="K720" s="268"/>
      <c r="L720" s="268"/>
      <c r="M720" s="268"/>
      <c r="N720" s="268"/>
      <c r="O720" s="268"/>
      <c r="P720" s="268"/>
      <c r="Q720" s="282"/>
      <c r="R720" s="283">
        <v>-3.8</v>
      </c>
      <c r="S720" s="268"/>
      <c r="T720" s="268"/>
      <c r="U720" s="268">
        <v>-4.0999999999999996</v>
      </c>
      <c r="V720" s="268">
        <v>-3.5</v>
      </c>
      <c r="W720" s="268">
        <v>0.95</v>
      </c>
      <c r="X720" s="276"/>
      <c r="Y720" s="268"/>
      <c r="Z720" s="268"/>
      <c r="AA720" s="268"/>
      <c r="AB720" s="268"/>
      <c r="AC720" s="268"/>
      <c r="AD720" s="276"/>
      <c r="AE720" s="268"/>
      <c r="AF720" s="268"/>
      <c r="AG720" s="268"/>
      <c r="AH720" s="268"/>
      <c r="AI720" s="268"/>
      <c r="AJ720" s="276"/>
      <c r="AK720" s="268"/>
      <c r="AL720" s="268"/>
      <c r="AM720" s="268"/>
      <c r="AN720" s="268"/>
      <c r="AO720" s="275"/>
      <c r="AP720" s="268"/>
      <c r="AQ720" s="268"/>
      <c r="AR720" s="268"/>
      <c r="AS720" s="268"/>
      <c r="AT720" s="268"/>
      <c r="AU720" s="275"/>
      <c r="AV720" s="268"/>
      <c r="AW720" s="268"/>
      <c r="AX720" s="268"/>
      <c r="AY720" s="268"/>
      <c r="AZ720" s="268"/>
      <c r="BA720" s="268"/>
      <c r="BB720" s="268"/>
      <c r="BC720" s="268"/>
    </row>
    <row r="721" spans="1:55" s="277" customFormat="1" ht="18" customHeight="1" x14ac:dyDescent="0.35">
      <c r="A721" s="274">
        <f>MATCH(B721,STUDIES!$A$3:$A$502,0)</f>
        <v>53</v>
      </c>
      <c r="B721" s="272" t="s">
        <v>1179</v>
      </c>
      <c r="C721" s="435"/>
      <c r="D721" s="281" t="s">
        <v>1056</v>
      </c>
      <c r="E721" s="272" t="s">
        <v>297</v>
      </c>
      <c r="F721" s="155" t="str">
        <f>_xlfn.XLOOKUP(B721,STUDIES!$A$3:$A$1063,STUDIES!$G$3:$G$1063,"Not Found!")</f>
        <v>A</v>
      </c>
      <c r="G721" s="273" t="s">
        <v>147</v>
      </c>
      <c r="H721" s="273">
        <v>16</v>
      </c>
      <c r="I721" s="273">
        <v>241</v>
      </c>
      <c r="J721" s="274"/>
      <c r="K721" s="268"/>
      <c r="L721" s="268"/>
      <c r="M721" s="268"/>
      <c r="N721" s="268"/>
      <c r="O721" s="268"/>
      <c r="P721" s="268"/>
      <c r="Q721" s="282"/>
      <c r="R721" s="283">
        <v>-4.5</v>
      </c>
      <c r="S721" s="268"/>
      <c r="T721" s="268"/>
      <c r="U721" s="268">
        <v>-4.8</v>
      </c>
      <c r="V721" s="268">
        <v>-4.2</v>
      </c>
      <c r="W721" s="268">
        <v>0.95</v>
      </c>
      <c r="X721" s="276"/>
      <c r="Y721" s="268"/>
      <c r="Z721" s="268"/>
      <c r="AA721" s="268"/>
      <c r="AB721" s="268"/>
      <c r="AC721" s="268"/>
      <c r="AD721" s="276"/>
      <c r="AE721" s="268"/>
      <c r="AF721" s="268"/>
      <c r="AG721" s="268"/>
      <c r="AH721" s="268"/>
      <c r="AI721" s="268"/>
      <c r="AJ721" s="276"/>
      <c r="AK721" s="268"/>
      <c r="AL721" s="268"/>
      <c r="AM721" s="268"/>
      <c r="AN721" s="268"/>
      <c r="AO721" s="275"/>
      <c r="AP721" s="268"/>
      <c r="AQ721" s="268"/>
      <c r="AR721" s="268"/>
      <c r="AS721" s="268"/>
      <c r="AT721" s="268"/>
      <c r="AU721" s="275"/>
      <c r="AV721" s="268"/>
      <c r="AW721" s="268"/>
      <c r="AX721" s="268"/>
      <c r="AY721" s="268"/>
      <c r="AZ721" s="268"/>
      <c r="BA721" s="268"/>
      <c r="BB721" s="268"/>
      <c r="BC721" s="268"/>
    </row>
    <row r="722" spans="1:55" s="277" customFormat="1" ht="18" customHeight="1" x14ac:dyDescent="0.35">
      <c r="A722" s="274">
        <f>MATCH(B722,STUDIES!$A$3:$A$502,0)</f>
        <v>53</v>
      </c>
      <c r="B722" s="272" t="s">
        <v>1179</v>
      </c>
      <c r="C722" s="435"/>
      <c r="D722" s="281" t="s">
        <v>148</v>
      </c>
      <c r="E722" s="272" t="s">
        <v>297</v>
      </c>
      <c r="F722" s="155" t="str">
        <f>_xlfn.XLOOKUP(B722,STUDIES!$A$3:$A$1063,STUDIES!$G$3:$G$1063,"Not Found!")</f>
        <v>A</v>
      </c>
      <c r="G722" s="273" t="s">
        <v>147</v>
      </c>
      <c r="H722" s="273">
        <v>16</v>
      </c>
      <c r="I722" s="273">
        <v>129</v>
      </c>
      <c r="J722" s="274"/>
      <c r="K722" s="268"/>
      <c r="L722" s="268"/>
      <c r="M722" s="268"/>
      <c r="N722" s="268"/>
      <c r="O722" s="268"/>
      <c r="P722" s="268"/>
      <c r="Q722" s="282"/>
      <c r="R722" s="283">
        <v>-2.7</v>
      </c>
      <c r="S722" s="268"/>
      <c r="T722" s="268"/>
      <c r="U722" s="268">
        <v>-3.1</v>
      </c>
      <c r="V722" s="268">
        <v>-2.2999999999999998</v>
      </c>
      <c r="W722" s="268">
        <v>0.95</v>
      </c>
      <c r="X722" s="276"/>
      <c r="Y722" s="268"/>
      <c r="Z722" s="268"/>
      <c r="AA722" s="268"/>
      <c r="AB722" s="268"/>
      <c r="AC722" s="268"/>
      <c r="AD722" s="276"/>
      <c r="AE722" s="268"/>
      <c r="AF722" s="268"/>
      <c r="AG722" s="268"/>
      <c r="AH722" s="268"/>
      <c r="AI722" s="268"/>
      <c r="AJ722" s="276"/>
      <c r="AK722" s="268"/>
      <c r="AL722" s="268"/>
      <c r="AM722" s="268"/>
      <c r="AN722" s="268"/>
      <c r="AO722" s="275"/>
      <c r="AP722" s="268"/>
      <c r="AQ722" s="268"/>
      <c r="AR722" s="268"/>
      <c r="AS722" s="268"/>
      <c r="AT722" s="268"/>
      <c r="AU722" s="275"/>
      <c r="AV722" s="268"/>
      <c r="AW722" s="268"/>
      <c r="AX722" s="268"/>
      <c r="AY722" s="268"/>
      <c r="AZ722" s="268"/>
      <c r="BA722" s="268"/>
      <c r="BB722" s="268"/>
      <c r="BC722" s="268"/>
    </row>
    <row r="723" spans="1:55" s="277" customFormat="1" ht="18" customHeight="1" x14ac:dyDescent="0.35">
      <c r="A723" s="274">
        <f>MATCH(B723,STUDIES!$A$3:$A$502,0)</f>
        <v>54</v>
      </c>
      <c r="B723" s="272" t="s">
        <v>1152</v>
      </c>
      <c r="C723" s="435"/>
      <c r="D723" s="281" t="s">
        <v>148</v>
      </c>
      <c r="E723" s="272" t="s">
        <v>1163</v>
      </c>
      <c r="F723" s="155" t="str">
        <f>_xlfn.XLOOKUP(B723,STUDIES!$A$3:$A$1063,STUDIES!$G$3:$G$1063,"Not Found!")</f>
        <v>A</v>
      </c>
      <c r="G723" s="273" t="s">
        <v>147</v>
      </c>
      <c r="H723" s="273">
        <v>12</v>
      </c>
      <c r="I723" s="273">
        <v>78</v>
      </c>
      <c r="J723" s="274">
        <v>1</v>
      </c>
      <c r="K723" s="268"/>
      <c r="L723" s="268"/>
      <c r="M723" s="268"/>
      <c r="N723" s="268"/>
      <c r="O723" s="268"/>
      <c r="P723" s="268"/>
      <c r="Q723" s="282"/>
      <c r="R723" s="283"/>
      <c r="S723" s="268"/>
      <c r="T723" s="268"/>
      <c r="U723" s="268"/>
      <c r="V723" s="268"/>
      <c r="W723" s="268"/>
      <c r="X723" s="276"/>
      <c r="Y723" s="268"/>
      <c r="Z723" s="268"/>
      <c r="AA723" s="268"/>
      <c r="AB723" s="268"/>
      <c r="AC723" s="268"/>
      <c r="AD723" s="276"/>
      <c r="AE723" s="268"/>
      <c r="AF723" s="268"/>
      <c r="AG723" s="268"/>
      <c r="AH723" s="268"/>
      <c r="AI723" s="268"/>
      <c r="AJ723" s="276"/>
      <c r="AK723" s="268"/>
      <c r="AL723" s="268"/>
      <c r="AM723" s="268"/>
      <c r="AN723" s="268"/>
      <c r="AO723" s="275"/>
      <c r="AP723" s="268"/>
      <c r="AQ723" s="268"/>
      <c r="AR723" s="268"/>
      <c r="AS723" s="268"/>
      <c r="AT723" s="268"/>
      <c r="AU723" s="275"/>
      <c r="AV723" s="268"/>
      <c r="AW723" s="268"/>
      <c r="AX723" s="268"/>
      <c r="AY723" s="268"/>
      <c r="AZ723" s="268"/>
      <c r="BA723" s="268"/>
      <c r="BB723" s="268"/>
      <c r="BC723" s="268"/>
    </row>
    <row r="724" spans="1:55" s="277" customFormat="1" ht="18" customHeight="1" x14ac:dyDescent="0.35">
      <c r="A724" s="274">
        <f>MATCH(B724,STUDIES!$A$3:$A$502,0)</f>
        <v>54</v>
      </c>
      <c r="B724" s="272" t="s">
        <v>1152</v>
      </c>
      <c r="C724" s="435"/>
      <c r="D724" s="281" t="s">
        <v>148</v>
      </c>
      <c r="E724" s="272" t="s">
        <v>1167</v>
      </c>
      <c r="F724" s="155" t="str">
        <f>_xlfn.XLOOKUP(B724,STUDIES!$A$3:$A$1063,STUDIES!$G$3:$G$1063,"Not Found!")</f>
        <v>A</v>
      </c>
      <c r="G724" s="273" t="s">
        <v>147</v>
      </c>
      <c r="H724" s="273">
        <v>12</v>
      </c>
      <c r="I724" s="273">
        <v>78</v>
      </c>
      <c r="J724" s="274">
        <v>8</v>
      </c>
      <c r="K724" s="268"/>
      <c r="L724" s="268"/>
      <c r="M724" s="268"/>
      <c r="N724" s="268"/>
      <c r="O724" s="268"/>
      <c r="P724" s="268"/>
      <c r="Q724" s="282"/>
      <c r="R724" s="283"/>
      <c r="S724" s="268"/>
      <c r="T724" s="268"/>
      <c r="U724" s="268"/>
      <c r="V724" s="268"/>
      <c r="W724" s="268"/>
      <c r="X724" s="276"/>
      <c r="Y724" s="268"/>
      <c r="Z724" s="268"/>
      <c r="AA724" s="268"/>
      <c r="AB724" s="268"/>
      <c r="AC724" s="268"/>
      <c r="AD724" s="276"/>
      <c r="AE724" s="268"/>
      <c r="AF724" s="268"/>
      <c r="AG724" s="268"/>
      <c r="AH724" s="268"/>
      <c r="AI724" s="268"/>
      <c r="AJ724" s="276"/>
      <c r="AK724" s="268"/>
      <c r="AL724" s="268"/>
      <c r="AM724" s="268"/>
      <c r="AN724" s="268"/>
      <c r="AO724" s="275"/>
      <c r="AP724" s="268"/>
      <c r="AQ724" s="268"/>
      <c r="AR724" s="268"/>
      <c r="AS724" s="268"/>
      <c r="AT724" s="268"/>
      <c r="AU724" s="275"/>
      <c r="AV724" s="268"/>
      <c r="AW724" s="268"/>
      <c r="AX724" s="268"/>
      <c r="AY724" s="268"/>
      <c r="AZ724" s="268"/>
      <c r="BA724" s="268"/>
      <c r="BB724" s="268"/>
      <c r="BC724" s="268"/>
    </row>
    <row r="725" spans="1:55" s="277" customFormat="1" ht="18" customHeight="1" x14ac:dyDescent="0.35">
      <c r="A725" s="274">
        <f>MATCH(B725,STUDIES!$A$3:$A$502,0)</f>
        <v>54</v>
      </c>
      <c r="B725" s="422" t="s">
        <v>1152</v>
      </c>
      <c r="C725" s="464"/>
      <c r="D725" s="425" t="s">
        <v>1088</v>
      </c>
      <c r="E725" s="272" t="s">
        <v>694</v>
      </c>
      <c r="F725" s="155" t="str">
        <f>_xlfn.XLOOKUP(B725,STUDIES!$A$3:$A$1063,STUDIES!$G$3:$G$1063,"Not Found!")</f>
        <v>A</v>
      </c>
      <c r="G725" s="286" t="s">
        <v>147</v>
      </c>
      <c r="H725" s="286">
        <v>12</v>
      </c>
      <c r="I725" s="286">
        <v>16</v>
      </c>
      <c r="J725" s="258"/>
      <c r="K725" s="268"/>
      <c r="L725" s="268"/>
      <c r="M725" s="426"/>
      <c r="N725" s="268"/>
      <c r="O725" s="268"/>
      <c r="P725" s="268"/>
      <c r="Q725" s="282" t="s">
        <v>90</v>
      </c>
      <c r="R725" s="283">
        <v>-4.8</v>
      </c>
      <c r="S725" s="268"/>
      <c r="T725" s="268"/>
      <c r="U725" s="268">
        <v>-7.2</v>
      </c>
      <c r="V725" s="268">
        <v>-2.5</v>
      </c>
      <c r="W725" s="268">
        <v>0.95</v>
      </c>
      <c r="X725" s="276"/>
      <c r="Y725" s="268"/>
      <c r="Z725" s="268"/>
      <c r="AA725" s="268"/>
      <c r="AB725" s="268"/>
      <c r="AC725" s="268"/>
      <c r="AD725" s="276"/>
      <c r="AE725" s="268"/>
      <c r="AF725" s="268"/>
      <c r="AG725" s="268"/>
      <c r="AH725" s="268"/>
      <c r="AI725" s="268"/>
      <c r="AJ725" s="276"/>
      <c r="AK725" s="268"/>
      <c r="AL725" s="268"/>
      <c r="AM725" s="268"/>
      <c r="AN725" s="268"/>
      <c r="AO725" s="275"/>
      <c r="AP725" s="268"/>
      <c r="AQ725" s="268"/>
      <c r="AR725" s="268"/>
      <c r="AS725" s="268"/>
      <c r="AT725" s="268"/>
      <c r="AU725" s="275"/>
      <c r="AV725" s="268"/>
      <c r="AW725" s="268"/>
      <c r="AX725" s="268"/>
      <c r="AY725" s="268"/>
      <c r="AZ725" s="268"/>
      <c r="BA725" s="268"/>
      <c r="BB725" s="268"/>
      <c r="BC725" s="268"/>
    </row>
    <row r="726" spans="1:55" s="277" customFormat="1" ht="18" customHeight="1" x14ac:dyDescent="0.35">
      <c r="A726" s="274">
        <f>MATCH(B726,STUDIES!$A$3:$A$502,0)</f>
        <v>54</v>
      </c>
      <c r="B726" s="422" t="s">
        <v>1152</v>
      </c>
      <c r="C726" s="464"/>
      <c r="D726" s="425" t="s">
        <v>1088</v>
      </c>
      <c r="E726" s="321" t="s">
        <v>154</v>
      </c>
      <c r="F726" s="155" t="str">
        <f>_xlfn.XLOOKUP(B726,STUDIES!$A$3:$A$1063,STUDIES!$G$3:$G$1063,"Not Found!")</f>
        <v>A</v>
      </c>
      <c r="G726" s="286" t="s">
        <v>147</v>
      </c>
      <c r="H726" s="286">
        <v>12</v>
      </c>
      <c r="I726" s="286">
        <v>140</v>
      </c>
      <c r="J726" s="258"/>
      <c r="K726" s="268"/>
      <c r="L726" s="268"/>
      <c r="M726" s="426"/>
      <c r="N726" s="268"/>
      <c r="O726" s="268"/>
      <c r="P726" s="268"/>
      <c r="Q726" s="282" t="s">
        <v>90</v>
      </c>
      <c r="R726" s="283">
        <v>-8.3000000000000007</v>
      </c>
      <c r="S726" s="268"/>
      <c r="T726" s="268"/>
      <c r="U726" s="268">
        <v>-9.3000000000000007</v>
      </c>
      <c r="V726" s="268">
        <v>-7.3</v>
      </c>
      <c r="W726" s="268">
        <v>0.95</v>
      </c>
      <c r="X726" s="276"/>
      <c r="Y726" s="268"/>
      <c r="Z726" s="268"/>
      <c r="AA726" s="268"/>
      <c r="AB726" s="268"/>
      <c r="AC726" s="268"/>
      <c r="AD726" s="276"/>
      <c r="AE726" s="268"/>
      <c r="AF726" s="268"/>
      <c r="AG726" s="268"/>
      <c r="AH726" s="268"/>
      <c r="AI726" s="268"/>
      <c r="AJ726" s="276"/>
      <c r="AK726" s="268"/>
      <c r="AL726" s="268"/>
      <c r="AM726" s="268"/>
      <c r="AN726" s="268"/>
      <c r="AO726" s="275"/>
      <c r="AP726" s="268"/>
      <c r="AQ726" s="268"/>
      <c r="AR726" s="268"/>
      <c r="AS726" s="268"/>
      <c r="AT726" s="268"/>
      <c r="AU726" s="275"/>
      <c r="AV726" s="268"/>
      <c r="AW726" s="268"/>
      <c r="AX726" s="268"/>
      <c r="AY726" s="268"/>
      <c r="AZ726" s="268"/>
      <c r="BA726" s="268"/>
      <c r="BB726" s="268"/>
      <c r="BC726" s="268"/>
    </row>
    <row r="727" spans="1:55" s="277" customFormat="1" ht="18" customHeight="1" x14ac:dyDescent="0.35">
      <c r="A727" s="274">
        <f>MATCH(B727,STUDIES!$A$3:$A$502,0)</f>
        <v>54</v>
      </c>
      <c r="B727" s="422" t="s">
        <v>1152</v>
      </c>
      <c r="C727" s="464"/>
      <c r="D727" s="425" t="s">
        <v>1088</v>
      </c>
      <c r="E727" s="321" t="s">
        <v>151</v>
      </c>
      <c r="F727" s="155" t="str">
        <f>_xlfn.XLOOKUP(B727,STUDIES!$A$3:$A$1063,STUDIES!$G$3:$G$1063,"Not Found!")</f>
        <v>A</v>
      </c>
      <c r="G727" s="286" t="s">
        <v>147</v>
      </c>
      <c r="H727" s="286">
        <v>12</v>
      </c>
      <c r="I727" s="286">
        <v>158</v>
      </c>
      <c r="J727" s="258"/>
      <c r="K727" s="268">
        <v>28.4</v>
      </c>
      <c r="L727" s="268"/>
      <c r="M727" s="426">
        <v>11.2</v>
      </c>
      <c r="N727" s="268"/>
      <c r="O727" s="268"/>
      <c r="P727" s="268"/>
      <c r="Q727" s="282" t="s">
        <v>92</v>
      </c>
      <c r="R727" s="283"/>
      <c r="S727" s="268"/>
      <c r="T727" s="268"/>
      <c r="U727" s="268"/>
      <c r="V727" s="268"/>
      <c r="W727" s="268"/>
      <c r="X727" s="276"/>
      <c r="Y727" s="268"/>
      <c r="Z727" s="268"/>
      <c r="AA727" s="268"/>
      <c r="AB727" s="268"/>
      <c r="AC727" s="268"/>
      <c r="AD727" s="276"/>
      <c r="AE727" s="268"/>
      <c r="AF727" s="268"/>
      <c r="AG727" s="268"/>
      <c r="AH727" s="268"/>
      <c r="AI727" s="268"/>
      <c r="AJ727" s="309">
        <v>-60</v>
      </c>
      <c r="AK727" s="293"/>
      <c r="AL727" s="293"/>
      <c r="AM727" s="293">
        <v>-66.5</v>
      </c>
      <c r="AN727" s="293">
        <v>-53.6</v>
      </c>
      <c r="AO727" s="427">
        <v>0.95</v>
      </c>
      <c r="AP727" s="268"/>
      <c r="AQ727" s="268"/>
      <c r="AR727" s="268"/>
      <c r="AS727" s="268"/>
      <c r="AT727" s="268"/>
      <c r="AU727" s="275"/>
      <c r="AV727" s="268"/>
      <c r="AW727" s="268"/>
      <c r="AX727" s="268"/>
      <c r="AY727" s="268"/>
      <c r="AZ727" s="268"/>
      <c r="BA727" s="268"/>
      <c r="BB727" s="268"/>
      <c r="BC727" s="268"/>
    </row>
    <row r="728" spans="1:55" s="277" customFormat="1" ht="18" customHeight="1" x14ac:dyDescent="0.35">
      <c r="A728" s="274">
        <f>MATCH(B728,STUDIES!$A$3:$A$502,0)</f>
        <v>54</v>
      </c>
      <c r="B728" s="422" t="s">
        <v>1152</v>
      </c>
      <c r="C728" s="464"/>
      <c r="D728" s="425" t="s">
        <v>1088</v>
      </c>
      <c r="E728" s="321" t="s">
        <v>153</v>
      </c>
      <c r="F728" s="155" t="str">
        <f>_xlfn.XLOOKUP(B728,STUDIES!$A$3:$A$1063,STUDIES!$G$3:$G$1063,"Not Found!")</f>
        <v>A</v>
      </c>
      <c r="G728" s="286" t="s">
        <v>147</v>
      </c>
      <c r="H728" s="286">
        <v>12</v>
      </c>
      <c r="I728" s="286">
        <v>156</v>
      </c>
      <c r="J728" s="258"/>
      <c r="K728" s="268"/>
      <c r="L728" s="268"/>
      <c r="M728" s="426"/>
      <c r="N728" s="268"/>
      <c r="O728" s="268"/>
      <c r="P728" s="268"/>
      <c r="Q728" s="282" t="s">
        <v>90</v>
      </c>
      <c r="R728" s="283">
        <v>-8.6999999999999993</v>
      </c>
      <c r="S728" s="268"/>
      <c r="T728" s="268"/>
      <c r="U728" s="268">
        <v>-9.9</v>
      </c>
      <c r="V728" s="268">
        <v>-7.5</v>
      </c>
      <c r="W728" s="268">
        <v>0.95</v>
      </c>
      <c r="X728" s="276"/>
      <c r="Y728" s="268"/>
      <c r="Z728" s="268"/>
      <c r="AA728" s="268"/>
      <c r="AB728" s="268"/>
      <c r="AC728" s="268"/>
      <c r="AD728" s="276"/>
      <c r="AE728" s="268"/>
      <c r="AF728" s="268"/>
      <c r="AG728" s="268"/>
      <c r="AH728" s="268"/>
      <c r="AI728" s="268"/>
      <c r="AJ728" s="276"/>
      <c r="AK728" s="268"/>
      <c r="AL728" s="268"/>
      <c r="AM728" s="268"/>
      <c r="AN728" s="268"/>
      <c r="AO728" s="275"/>
      <c r="AP728" s="268"/>
      <c r="AQ728" s="268"/>
      <c r="AR728" s="268"/>
      <c r="AS728" s="268"/>
      <c r="AT728" s="268"/>
      <c r="AU728" s="275"/>
      <c r="AV728" s="268"/>
      <c r="AW728" s="268"/>
      <c r="AX728" s="268"/>
      <c r="AY728" s="268"/>
      <c r="AZ728" s="268"/>
      <c r="BA728" s="268"/>
      <c r="BB728" s="268"/>
      <c r="BC728" s="268"/>
    </row>
    <row r="729" spans="1:55" s="277" customFormat="1" ht="18" customHeight="1" x14ac:dyDescent="0.35">
      <c r="A729" s="274">
        <f>MATCH(B729,STUDIES!$A$3:$A$502,0)</f>
        <v>54</v>
      </c>
      <c r="B729" s="422" t="s">
        <v>1152</v>
      </c>
      <c r="C729" s="464"/>
      <c r="D729" s="425" t="s">
        <v>1088</v>
      </c>
      <c r="E729" s="272" t="s">
        <v>695</v>
      </c>
      <c r="F729" s="155" t="str">
        <f>_xlfn.XLOOKUP(B729,STUDIES!$A$3:$A$1063,STUDIES!$G$3:$G$1063,"Not Found!")</f>
        <v>A</v>
      </c>
      <c r="G729" s="286" t="s">
        <v>147</v>
      </c>
      <c r="H729" s="286">
        <v>12</v>
      </c>
      <c r="I729" s="286">
        <v>156</v>
      </c>
      <c r="J729" s="258"/>
      <c r="K729" s="268"/>
      <c r="L729" s="268"/>
      <c r="M729" s="268"/>
      <c r="N729" s="268"/>
      <c r="O729" s="268"/>
      <c r="P729" s="268"/>
      <c r="Q729" s="282" t="s">
        <v>90</v>
      </c>
      <c r="R729" s="283">
        <v>-3.26</v>
      </c>
      <c r="S729" s="268"/>
      <c r="T729" s="268"/>
      <c r="U729" s="268">
        <v>-3.59</v>
      </c>
      <c r="V729" s="268">
        <v>-2.77</v>
      </c>
      <c r="W729" s="268">
        <v>0.95</v>
      </c>
      <c r="X729" s="276"/>
      <c r="Y729" s="268"/>
      <c r="Z729" s="268"/>
      <c r="AA729" s="268"/>
      <c r="AB729" s="268"/>
      <c r="AC729" s="268"/>
      <c r="AD729" s="276"/>
      <c r="AE729" s="268"/>
      <c r="AF729" s="268"/>
      <c r="AG729" s="268"/>
      <c r="AH729" s="268"/>
      <c r="AI729" s="268"/>
      <c r="AJ729" s="276"/>
      <c r="AK729" s="268"/>
      <c r="AL729" s="268"/>
      <c r="AM729" s="268"/>
      <c r="AN729" s="268"/>
      <c r="AO729" s="275"/>
      <c r="AP729" s="268"/>
      <c r="AQ729" s="268"/>
      <c r="AR729" s="268"/>
      <c r="AS729" s="268"/>
      <c r="AT729" s="268"/>
      <c r="AU729" s="275"/>
      <c r="AV729" s="268"/>
      <c r="AW729" s="268"/>
      <c r="AX729" s="268"/>
      <c r="AY729" s="268"/>
      <c r="AZ729" s="268"/>
      <c r="BA729" s="268"/>
      <c r="BB729" s="268"/>
      <c r="BC729" s="268"/>
    </row>
    <row r="730" spans="1:55" s="277" customFormat="1" ht="18" customHeight="1" x14ac:dyDescent="0.35">
      <c r="A730" s="274">
        <f>MATCH(B730,STUDIES!$A$3:$A$502,0)</f>
        <v>54</v>
      </c>
      <c r="B730" s="272" t="s">
        <v>1152</v>
      </c>
      <c r="C730" s="435"/>
      <c r="D730" s="281" t="s">
        <v>1088</v>
      </c>
      <c r="E730" s="272" t="s">
        <v>1163</v>
      </c>
      <c r="F730" s="155" t="str">
        <f>_xlfn.XLOOKUP(B730,STUDIES!$A$3:$A$1063,STUDIES!$G$3:$G$1063,"Not Found!")</f>
        <v>A</v>
      </c>
      <c r="G730" s="273" t="s">
        <v>147</v>
      </c>
      <c r="H730" s="273">
        <v>12</v>
      </c>
      <c r="I730" s="273">
        <v>158</v>
      </c>
      <c r="J730" s="274">
        <v>5</v>
      </c>
      <c r="K730" s="268"/>
      <c r="L730" s="268"/>
      <c r="M730" s="268"/>
      <c r="N730" s="268"/>
      <c r="O730" s="268"/>
      <c r="P730" s="268"/>
      <c r="Q730" s="282"/>
      <c r="R730" s="283"/>
      <c r="S730" s="268"/>
      <c r="T730" s="268"/>
      <c r="U730" s="268"/>
      <c r="V730" s="268"/>
      <c r="W730" s="268"/>
      <c r="X730" s="276"/>
      <c r="Y730" s="268"/>
      <c r="Z730" s="268"/>
      <c r="AA730" s="268"/>
      <c r="AB730" s="268"/>
      <c r="AC730" s="268"/>
      <c r="AD730" s="276"/>
      <c r="AE730" s="268"/>
      <c r="AF730" s="268"/>
      <c r="AG730" s="268"/>
      <c r="AH730" s="268"/>
      <c r="AI730" s="268"/>
      <c r="AJ730" s="276"/>
      <c r="AK730" s="268"/>
      <c r="AL730" s="268"/>
      <c r="AM730" s="268"/>
      <c r="AN730" s="268"/>
      <c r="AO730" s="275"/>
      <c r="AP730" s="268"/>
      <c r="AQ730" s="268"/>
      <c r="AR730" s="268"/>
      <c r="AS730" s="268"/>
      <c r="AT730" s="268"/>
      <c r="AU730" s="275"/>
      <c r="AV730" s="268"/>
      <c r="AW730" s="268"/>
      <c r="AX730" s="268"/>
      <c r="AY730" s="268"/>
      <c r="AZ730" s="268"/>
      <c r="BA730" s="268"/>
      <c r="BB730" s="268"/>
      <c r="BC730" s="268"/>
    </row>
    <row r="731" spans="1:55" s="277" customFormat="1" ht="18" customHeight="1" x14ac:dyDescent="0.35">
      <c r="A731" s="274">
        <f>MATCH(B731,STUDIES!$A$3:$A$502,0)</f>
        <v>54</v>
      </c>
      <c r="B731" s="272" t="s">
        <v>1152</v>
      </c>
      <c r="C731" s="435"/>
      <c r="D731" s="281" t="s">
        <v>1088</v>
      </c>
      <c r="E731" s="272" t="s">
        <v>1167</v>
      </c>
      <c r="F731" s="155" t="str">
        <f>_xlfn.XLOOKUP(B731,STUDIES!$A$3:$A$1063,STUDIES!$G$3:$G$1063,"Not Found!")</f>
        <v>A</v>
      </c>
      <c r="G731" s="273" t="s">
        <v>147</v>
      </c>
      <c r="H731" s="273">
        <v>12</v>
      </c>
      <c r="I731" s="273">
        <v>158</v>
      </c>
      <c r="J731" s="274">
        <v>5</v>
      </c>
      <c r="K731" s="268"/>
      <c r="L731" s="268"/>
      <c r="M731" s="268"/>
      <c r="N731" s="268"/>
      <c r="O731" s="268"/>
      <c r="P731" s="268"/>
      <c r="Q731" s="282"/>
      <c r="R731" s="283"/>
      <c r="S731" s="268"/>
      <c r="T731" s="268"/>
      <c r="U731" s="268"/>
      <c r="V731" s="268"/>
      <c r="W731" s="268"/>
      <c r="X731" s="276"/>
      <c r="Y731" s="268"/>
      <c r="Z731" s="268"/>
      <c r="AA731" s="268"/>
      <c r="AB731" s="268"/>
      <c r="AC731" s="268"/>
      <c r="AD731" s="276"/>
      <c r="AE731" s="268"/>
      <c r="AF731" s="268"/>
      <c r="AG731" s="268"/>
      <c r="AH731" s="268"/>
      <c r="AI731" s="268"/>
      <c r="AJ731" s="276"/>
      <c r="AK731" s="268"/>
      <c r="AL731" s="268"/>
      <c r="AM731" s="268"/>
      <c r="AN731" s="268"/>
      <c r="AO731" s="275"/>
      <c r="AP731" s="268"/>
      <c r="AQ731" s="268"/>
      <c r="AR731" s="268"/>
      <c r="AS731" s="268"/>
      <c r="AT731" s="268"/>
      <c r="AU731" s="275"/>
      <c r="AV731" s="268"/>
      <c r="AW731" s="268"/>
      <c r="AX731" s="268"/>
      <c r="AY731" s="268"/>
      <c r="AZ731" s="268"/>
      <c r="BA731" s="268"/>
      <c r="BB731" s="268"/>
      <c r="BC731" s="268"/>
    </row>
    <row r="732" spans="1:55" s="277" customFormat="1" ht="18" customHeight="1" x14ac:dyDescent="0.35">
      <c r="A732" s="274">
        <f>MATCH(B732,STUDIES!$A$3:$A$502,0)</f>
        <v>54</v>
      </c>
      <c r="B732" s="422" t="s">
        <v>1152</v>
      </c>
      <c r="C732" s="464"/>
      <c r="D732" s="425" t="s">
        <v>1089</v>
      </c>
      <c r="E732" s="272" t="s">
        <v>694</v>
      </c>
      <c r="F732" s="155" t="str">
        <f>_xlfn.XLOOKUP(B732,STUDIES!$A$3:$A$1063,STUDIES!$G$3:$G$1063,"Not Found!")</f>
        <v>A</v>
      </c>
      <c r="G732" s="286" t="s">
        <v>147</v>
      </c>
      <c r="H732" s="286">
        <v>12</v>
      </c>
      <c r="I732" s="286">
        <v>15</v>
      </c>
      <c r="J732" s="258"/>
      <c r="K732" s="268"/>
      <c r="L732" s="268"/>
      <c r="M732" s="426"/>
      <c r="N732" s="268"/>
      <c r="O732" s="268"/>
      <c r="P732" s="268"/>
      <c r="Q732" s="282" t="s">
        <v>90</v>
      </c>
      <c r="R732" s="283">
        <v>-9.6999999999999993</v>
      </c>
      <c r="S732" s="268"/>
      <c r="T732" s="268"/>
      <c r="U732" s="268">
        <v>-12.1</v>
      </c>
      <c r="V732" s="268">
        <v>-7.4</v>
      </c>
      <c r="W732" s="268">
        <v>0.95</v>
      </c>
      <c r="X732" s="276"/>
      <c r="Y732" s="268"/>
      <c r="Z732" s="268"/>
      <c r="AA732" s="268"/>
      <c r="AB732" s="268"/>
      <c r="AC732" s="268"/>
      <c r="AD732" s="276"/>
      <c r="AE732" s="268"/>
      <c r="AF732" s="268"/>
      <c r="AG732" s="268"/>
      <c r="AH732" s="268"/>
      <c r="AI732" s="268"/>
      <c r="AJ732" s="276"/>
      <c r="AK732" s="268"/>
      <c r="AL732" s="268"/>
      <c r="AM732" s="268"/>
      <c r="AN732" s="268"/>
      <c r="AO732" s="275"/>
      <c r="AP732" s="268"/>
      <c r="AQ732" s="268"/>
      <c r="AR732" s="268"/>
      <c r="AS732" s="268"/>
      <c r="AT732" s="268"/>
      <c r="AU732" s="275"/>
      <c r="AV732" s="268"/>
      <c r="AW732" s="268"/>
      <c r="AX732" s="268"/>
      <c r="AY732" s="268"/>
      <c r="AZ732" s="268"/>
      <c r="BA732" s="268"/>
      <c r="BB732" s="268"/>
      <c r="BC732" s="268"/>
    </row>
    <row r="733" spans="1:55" ht="18" customHeight="1" x14ac:dyDescent="0.35">
      <c r="A733" s="274">
        <f>MATCH(B733,STUDIES!$A$3:$A$502,0)</f>
        <v>54</v>
      </c>
      <c r="B733" s="422" t="s">
        <v>1152</v>
      </c>
      <c r="C733" s="464"/>
      <c r="D733" s="425" t="s">
        <v>1089</v>
      </c>
      <c r="E733" s="321" t="s">
        <v>154</v>
      </c>
      <c r="F733" s="155" t="str">
        <f>_xlfn.XLOOKUP(B733,STUDIES!$A$3:$A$1063,STUDIES!$G$3:$G$1063,"Not Found!")</f>
        <v>A</v>
      </c>
      <c r="G733" s="286" t="s">
        <v>147</v>
      </c>
      <c r="H733" s="286">
        <v>12</v>
      </c>
      <c r="I733" s="286">
        <v>139</v>
      </c>
      <c r="J733" s="258"/>
      <c r="M733" s="426"/>
      <c r="Q733" s="282" t="s">
        <v>90</v>
      </c>
      <c r="R733" s="283">
        <v>-9.8000000000000007</v>
      </c>
      <c r="U733" s="268">
        <v>-10.7</v>
      </c>
      <c r="V733" s="268">
        <v>-8.8000000000000007</v>
      </c>
      <c r="W733" s="268">
        <v>0.95</v>
      </c>
    </row>
    <row r="734" spans="1:55" ht="18" customHeight="1" x14ac:dyDescent="0.35">
      <c r="A734" s="274">
        <f>MATCH(B734,STUDIES!$A$3:$A$502,0)</f>
        <v>54</v>
      </c>
      <c r="B734" s="422" t="s">
        <v>1152</v>
      </c>
      <c r="C734" s="464"/>
      <c r="D734" s="425" t="s">
        <v>1089</v>
      </c>
      <c r="E734" s="321" t="s">
        <v>151</v>
      </c>
      <c r="F734" s="155" t="str">
        <f>_xlfn.XLOOKUP(B734,STUDIES!$A$3:$A$1063,STUDIES!$G$3:$G$1063,"Not Found!")</f>
        <v>A</v>
      </c>
      <c r="G734" s="286" t="s">
        <v>147</v>
      </c>
      <c r="H734" s="286">
        <v>12</v>
      </c>
      <c r="I734" s="286">
        <v>155</v>
      </c>
      <c r="J734" s="258"/>
      <c r="K734" s="268">
        <v>29</v>
      </c>
      <c r="M734" s="426">
        <v>12.4</v>
      </c>
      <c r="Q734" s="282" t="s">
        <v>92</v>
      </c>
      <c r="AJ734" s="309">
        <v>-73.3</v>
      </c>
      <c r="AK734" s="293"/>
      <c r="AL734" s="293"/>
      <c r="AM734" s="293">
        <v>-79.7</v>
      </c>
      <c r="AN734" s="293">
        <v>-66.900000000000006</v>
      </c>
      <c r="AO734" s="427">
        <v>0.95</v>
      </c>
    </row>
    <row r="735" spans="1:55" ht="18" customHeight="1" x14ac:dyDescent="0.35">
      <c r="A735" s="274">
        <f>MATCH(B735,STUDIES!$A$3:$A$502,0)</f>
        <v>54</v>
      </c>
      <c r="B735" s="422" t="s">
        <v>1152</v>
      </c>
      <c r="C735" s="464"/>
      <c r="D735" s="425" t="s">
        <v>1089</v>
      </c>
      <c r="E735" s="321" t="s">
        <v>153</v>
      </c>
      <c r="F735" s="155" t="str">
        <f>_xlfn.XLOOKUP(B735,STUDIES!$A$3:$A$1063,STUDIES!$G$3:$G$1063,"Not Found!")</f>
        <v>A</v>
      </c>
      <c r="G735" s="286" t="s">
        <v>147</v>
      </c>
      <c r="H735" s="286">
        <v>12</v>
      </c>
      <c r="I735" s="286">
        <v>154</v>
      </c>
      <c r="J735" s="258"/>
      <c r="M735" s="426"/>
      <c r="Q735" s="282" t="s">
        <v>90</v>
      </c>
      <c r="R735" s="283">
        <v>-11</v>
      </c>
      <c r="U735" s="268">
        <v>-12.1</v>
      </c>
      <c r="V735" s="268">
        <v>-9.8000000000000007</v>
      </c>
      <c r="W735" s="268">
        <v>0.95</v>
      </c>
    </row>
    <row r="736" spans="1:55" ht="18" customHeight="1" x14ac:dyDescent="0.35">
      <c r="A736" s="274">
        <f>MATCH(B736,STUDIES!$A$3:$A$502,0)</f>
        <v>54</v>
      </c>
      <c r="B736" s="422" t="s">
        <v>1152</v>
      </c>
      <c r="C736" s="464"/>
      <c r="D736" s="425" t="s">
        <v>1089</v>
      </c>
      <c r="E736" s="272" t="s">
        <v>695</v>
      </c>
      <c r="F736" s="155" t="str">
        <f>_xlfn.XLOOKUP(B736,STUDIES!$A$3:$A$1063,STUDIES!$G$3:$G$1063,"Not Found!")</f>
        <v>A</v>
      </c>
      <c r="G736" s="286" t="s">
        <v>147</v>
      </c>
      <c r="H736" s="286">
        <v>12</v>
      </c>
      <c r="I736" s="286">
        <v>153</v>
      </c>
      <c r="J736" s="258"/>
      <c r="Q736" s="282" t="s">
        <v>90</v>
      </c>
      <c r="R736" s="283">
        <v>-3.97</v>
      </c>
      <c r="U736" s="268">
        <v>-4.41</v>
      </c>
      <c r="V736" s="268">
        <v>-3.49</v>
      </c>
      <c r="W736" s="268">
        <v>0.95</v>
      </c>
    </row>
    <row r="737" spans="1:41" ht="18" customHeight="1" x14ac:dyDescent="0.35">
      <c r="A737" s="274">
        <f>MATCH(B737,STUDIES!$A$3:$A$502,0)</f>
        <v>54</v>
      </c>
      <c r="B737" s="272" t="s">
        <v>1152</v>
      </c>
      <c r="D737" s="281" t="s">
        <v>1089</v>
      </c>
      <c r="E737" s="272" t="s">
        <v>1163</v>
      </c>
      <c r="F737" s="155" t="str">
        <f>_xlfn.XLOOKUP(B737,STUDIES!$A$3:$A$1063,STUDIES!$G$3:$G$1063,"Not Found!")</f>
        <v>A</v>
      </c>
      <c r="G737" s="273" t="s">
        <v>147</v>
      </c>
      <c r="H737" s="273">
        <v>12</v>
      </c>
      <c r="I737" s="273">
        <v>155</v>
      </c>
      <c r="J737" s="274">
        <v>2</v>
      </c>
    </row>
    <row r="738" spans="1:41" ht="18" customHeight="1" x14ac:dyDescent="0.35">
      <c r="A738" s="274">
        <f>MATCH(B738,STUDIES!$A$3:$A$502,0)</f>
        <v>54</v>
      </c>
      <c r="B738" s="272" t="s">
        <v>1152</v>
      </c>
      <c r="D738" s="281" t="s">
        <v>1089</v>
      </c>
      <c r="E738" s="272" t="s">
        <v>1167</v>
      </c>
      <c r="F738" s="155" t="str">
        <f>_xlfn.XLOOKUP(B738,STUDIES!$A$3:$A$1063,STUDIES!$G$3:$G$1063,"Not Found!")</f>
        <v>A</v>
      </c>
      <c r="G738" s="273" t="s">
        <v>147</v>
      </c>
      <c r="H738" s="273">
        <v>12</v>
      </c>
      <c r="I738" s="273">
        <v>155</v>
      </c>
      <c r="J738" s="274">
        <v>5</v>
      </c>
    </row>
    <row r="739" spans="1:41" ht="18" customHeight="1" x14ac:dyDescent="0.35">
      <c r="A739" s="274">
        <f>MATCH(B739,STUDIES!$A$3:$A$502,0)</f>
        <v>54</v>
      </c>
      <c r="B739" s="422" t="s">
        <v>1152</v>
      </c>
      <c r="C739" s="464"/>
      <c r="D739" s="428" t="s">
        <v>148</v>
      </c>
      <c r="E739" s="272" t="s">
        <v>694</v>
      </c>
      <c r="F739" s="155" t="str">
        <f>_xlfn.XLOOKUP(B739,STUDIES!$A$3:$A$1063,STUDIES!$G$3:$G$1063,"Not Found!")</f>
        <v>A</v>
      </c>
      <c r="G739" s="286" t="s">
        <v>147</v>
      </c>
      <c r="H739" s="286">
        <v>12</v>
      </c>
      <c r="I739" s="429">
        <v>8</v>
      </c>
      <c r="J739" s="430"/>
      <c r="Q739" s="282" t="s">
        <v>90</v>
      </c>
      <c r="R739" s="283">
        <v>-2.7</v>
      </c>
      <c r="U739" s="268">
        <v>-6.1</v>
      </c>
      <c r="V739" s="268">
        <v>0.8</v>
      </c>
      <c r="W739" s="268">
        <v>0.95</v>
      </c>
    </row>
    <row r="740" spans="1:41" ht="18" customHeight="1" x14ac:dyDescent="0.35">
      <c r="A740" s="274">
        <f>MATCH(B740,STUDIES!$A$3:$A$502,0)</f>
        <v>54</v>
      </c>
      <c r="B740" s="422" t="s">
        <v>1152</v>
      </c>
      <c r="C740" s="464"/>
      <c r="D740" s="428" t="s">
        <v>148</v>
      </c>
      <c r="E740" s="321" t="s">
        <v>154</v>
      </c>
      <c r="F740" s="155" t="str">
        <f>_xlfn.XLOOKUP(B740,STUDIES!$A$3:$A$1063,STUDIES!$G$3:$G$1063,"Not Found!")</f>
        <v>A</v>
      </c>
      <c r="G740" s="286" t="s">
        <v>147</v>
      </c>
      <c r="H740" s="286">
        <v>12</v>
      </c>
      <c r="I740" s="431">
        <v>70</v>
      </c>
      <c r="J740" s="430"/>
      <c r="Q740" s="282" t="s">
        <v>90</v>
      </c>
      <c r="R740" s="283">
        <v>-3.9</v>
      </c>
      <c r="U740" s="268">
        <v>-5.3</v>
      </c>
      <c r="V740" s="268">
        <v>-2.4</v>
      </c>
      <c r="W740" s="268">
        <v>0.95</v>
      </c>
    </row>
    <row r="741" spans="1:41" ht="18" customHeight="1" x14ac:dyDescent="0.35">
      <c r="A741" s="274">
        <f>MATCH(B741,STUDIES!$A$3:$A$502,0)</f>
        <v>54</v>
      </c>
      <c r="B741" s="422" t="s">
        <v>1152</v>
      </c>
      <c r="C741" s="464"/>
      <c r="D741" s="428" t="s">
        <v>148</v>
      </c>
      <c r="E741" s="422" t="s">
        <v>151</v>
      </c>
      <c r="F741" s="155" t="str">
        <f>_xlfn.XLOOKUP(B741,STUDIES!$A$3:$A$1063,STUDIES!$G$3:$G$1063,"Not Found!")</f>
        <v>A</v>
      </c>
      <c r="G741" s="286" t="s">
        <v>147</v>
      </c>
      <c r="H741" s="286">
        <v>12</v>
      </c>
      <c r="I741" s="431">
        <v>78</v>
      </c>
      <c r="J741" s="430"/>
      <c r="K741" s="268">
        <v>28</v>
      </c>
      <c r="M741" s="268">
        <v>10.199999999999999</v>
      </c>
      <c r="Q741" s="282" t="s">
        <v>92</v>
      </c>
      <c r="AJ741" s="309">
        <v>-28.6</v>
      </c>
      <c r="AK741" s="293"/>
      <c r="AL741" s="293"/>
      <c r="AM741" s="293">
        <v>-38.4</v>
      </c>
      <c r="AN741" s="293">
        <v>-18.8</v>
      </c>
      <c r="AO741" s="427">
        <v>0.95</v>
      </c>
    </row>
    <row r="742" spans="1:41" ht="18" customHeight="1" x14ac:dyDescent="0.35">
      <c r="A742" s="274">
        <f>MATCH(B742,STUDIES!$A$3:$A$502,0)</f>
        <v>54</v>
      </c>
      <c r="B742" s="422" t="s">
        <v>1152</v>
      </c>
      <c r="C742" s="464"/>
      <c r="D742" s="428" t="s">
        <v>148</v>
      </c>
      <c r="E742" s="422" t="s">
        <v>153</v>
      </c>
      <c r="F742" s="155" t="str">
        <f>_xlfn.XLOOKUP(B742,STUDIES!$A$3:$A$1063,STUDIES!$G$3:$G$1063,"Not Found!")</f>
        <v>A</v>
      </c>
      <c r="G742" s="286" t="s">
        <v>147</v>
      </c>
      <c r="H742" s="286">
        <v>12</v>
      </c>
      <c r="I742" s="431">
        <v>78</v>
      </c>
      <c r="J742" s="430"/>
      <c r="Q742" s="282" t="s">
        <v>90</v>
      </c>
      <c r="R742" s="283">
        <v>-3.6</v>
      </c>
      <c r="U742" s="268">
        <v>-5.3</v>
      </c>
      <c r="V742" s="268">
        <v>-1.9</v>
      </c>
      <c r="W742" s="268">
        <v>0.95</v>
      </c>
    </row>
    <row r="743" spans="1:41" ht="18" customHeight="1" x14ac:dyDescent="0.35">
      <c r="A743" s="274">
        <f>MATCH(B743,STUDIES!$A$3:$A$502,0)</f>
        <v>54</v>
      </c>
      <c r="B743" s="422" t="s">
        <v>1152</v>
      </c>
      <c r="C743" s="464"/>
      <c r="D743" s="428" t="s">
        <v>148</v>
      </c>
      <c r="E743" s="272" t="s">
        <v>695</v>
      </c>
      <c r="F743" s="155" t="str">
        <f>_xlfn.XLOOKUP(B743,STUDIES!$A$3:$A$1063,STUDIES!$G$3:$G$1063,"Not Found!")</f>
        <v>A</v>
      </c>
      <c r="G743" s="286" t="s">
        <v>147</v>
      </c>
      <c r="H743" s="286">
        <v>12</v>
      </c>
      <c r="I743" s="431">
        <v>76</v>
      </c>
      <c r="J743" s="430"/>
      <c r="Q743" s="282" t="s">
        <v>90</v>
      </c>
      <c r="R743" s="283">
        <v>-1.58</v>
      </c>
      <c r="U743" s="268">
        <v>-2.25</v>
      </c>
      <c r="V743" s="268">
        <v>-0.88</v>
      </c>
      <c r="W743" s="268">
        <v>0.95</v>
      </c>
    </row>
    <row r="744" spans="1:41" ht="18" customHeight="1" x14ac:dyDescent="0.35">
      <c r="A744" s="274">
        <f>MATCH(B744,STUDIES!$A$3:$A$502,0)</f>
        <v>55</v>
      </c>
      <c r="B744" s="272" t="s">
        <v>1259</v>
      </c>
      <c r="D744" s="281" t="s">
        <v>1056</v>
      </c>
      <c r="E744" s="272" t="s">
        <v>1163</v>
      </c>
      <c r="F744" s="155" t="str">
        <f>_xlfn.XLOOKUP(B744,STUDIES!$A$3:$A$1063,STUDIES!$G$3:$G$1063,"Not Found!")</f>
        <v>A</v>
      </c>
      <c r="G744" s="273" t="s">
        <v>147</v>
      </c>
      <c r="H744" s="273">
        <v>16</v>
      </c>
      <c r="I744" s="273">
        <v>82</v>
      </c>
      <c r="J744" s="274">
        <v>1</v>
      </c>
    </row>
    <row r="745" spans="1:41" ht="18" customHeight="1" x14ac:dyDescent="0.35">
      <c r="A745" s="274">
        <f>MATCH(B745,STUDIES!$A$3:$A$502,0)</f>
        <v>55</v>
      </c>
      <c r="B745" s="272" t="s">
        <v>1259</v>
      </c>
      <c r="D745" s="281" t="s">
        <v>148</v>
      </c>
      <c r="E745" s="272" t="s">
        <v>1163</v>
      </c>
      <c r="F745" s="155" t="str">
        <f>_xlfn.XLOOKUP(B745,STUDIES!$A$3:$A$1063,STUDIES!$G$3:$G$1063,"Not Found!")</f>
        <v>A</v>
      </c>
      <c r="G745" s="273" t="s">
        <v>147</v>
      </c>
      <c r="H745" s="273">
        <v>16</v>
      </c>
      <c r="I745" s="273">
        <v>83</v>
      </c>
      <c r="J745" s="274">
        <v>4</v>
      </c>
    </row>
    <row r="746" spans="1:41" ht="18" customHeight="1" x14ac:dyDescent="0.35">
      <c r="A746" s="274">
        <f>MATCH(B746,STUDIES!$A$3:$A$502,0)</f>
        <v>55</v>
      </c>
      <c r="B746" s="272" t="s">
        <v>1259</v>
      </c>
      <c r="D746" s="281" t="s">
        <v>1056</v>
      </c>
      <c r="E746" s="272" t="s">
        <v>1167</v>
      </c>
      <c r="F746" s="155" t="str">
        <f>_xlfn.XLOOKUP(B746,STUDIES!$A$3:$A$1063,STUDIES!$G$3:$G$1063,"Not Found!")</f>
        <v>A</v>
      </c>
      <c r="G746" s="273" t="s">
        <v>147</v>
      </c>
      <c r="H746" s="273">
        <v>16</v>
      </c>
      <c r="I746" s="273">
        <v>82</v>
      </c>
      <c r="J746" s="274">
        <v>4</v>
      </c>
    </row>
    <row r="747" spans="1:41" ht="18" customHeight="1" x14ac:dyDescent="0.35">
      <c r="A747" s="274">
        <f>MATCH(B747,STUDIES!$A$3:$A$502,0)</f>
        <v>55</v>
      </c>
      <c r="B747" s="272" t="s">
        <v>1259</v>
      </c>
      <c r="D747" s="281" t="s">
        <v>148</v>
      </c>
      <c r="E747" s="272" t="s">
        <v>1167</v>
      </c>
      <c r="F747" s="155" t="str">
        <f>_xlfn.XLOOKUP(B747,STUDIES!$A$3:$A$1063,STUDIES!$G$3:$G$1063,"Not Found!")</f>
        <v>A</v>
      </c>
      <c r="G747" s="273" t="s">
        <v>147</v>
      </c>
      <c r="H747" s="273">
        <v>16</v>
      </c>
      <c r="I747" s="273">
        <v>83</v>
      </c>
      <c r="J747" s="274">
        <v>2</v>
      </c>
    </row>
    <row r="748" spans="1:41" ht="18" customHeight="1" x14ac:dyDescent="0.35">
      <c r="A748" s="274">
        <f>MATCH(B748,STUDIES!$A$3:$A$502,0)</f>
        <v>55</v>
      </c>
      <c r="B748" s="272" t="s">
        <v>1259</v>
      </c>
      <c r="D748" s="281" t="s">
        <v>1056</v>
      </c>
      <c r="E748" s="272" t="s">
        <v>291</v>
      </c>
      <c r="F748" s="155" t="str">
        <f>_xlfn.XLOOKUP(B748,STUDIES!$A$3:$A$1063,STUDIES!$G$3:$G$1063,"Not Found!")</f>
        <v>A</v>
      </c>
      <c r="G748" s="273" t="s">
        <v>147</v>
      </c>
      <c r="H748" s="273">
        <v>16</v>
      </c>
      <c r="I748" s="273">
        <v>82</v>
      </c>
      <c r="R748" s="283">
        <v>-3.84</v>
      </c>
      <c r="S748" s="268">
        <v>0.23699999999999999</v>
      </c>
    </row>
    <row r="749" spans="1:41" ht="18" customHeight="1" x14ac:dyDescent="0.35">
      <c r="A749" s="274">
        <f>MATCH(B749,STUDIES!$A$3:$A$502,0)</f>
        <v>55</v>
      </c>
      <c r="B749" s="272" t="s">
        <v>1259</v>
      </c>
      <c r="D749" s="281" t="s">
        <v>148</v>
      </c>
      <c r="E749" s="272" t="s">
        <v>291</v>
      </c>
      <c r="F749" s="155" t="str">
        <f>_xlfn.XLOOKUP(B749,STUDIES!$A$3:$A$1063,STUDIES!$G$3:$G$1063,"Not Found!")</f>
        <v>A</v>
      </c>
      <c r="G749" s="273" t="s">
        <v>147</v>
      </c>
      <c r="H749" s="273">
        <v>16</v>
      </c>
      <c r="I749" s="273">
        <v>83</v>
      </c>
      <c r="R749" s="283">
        <v>-1.64</v>
      </c>
      <c r="S749" s="268">
        <v>0.27200000000000002</v>
      </c>
    </row>
    <row r="750" spans="1:41" ht="18" customHeight="1" x14ac:dyDescent="0.35">
      <c r="A750" s="274">
        <f>MATCH(B750,STUDIES!$A$3:$A$502,0)</f>
        <v>55</v>
      </c>
      <c r="B750" s="272" t="s">
        <v>1259</v>
      </c>
      <c r="D750" s="281" t="s">
        <v>1056</v>
      </c>
      <c r="E750" s="272" t="s">
        <v>151</v>
      </c>
      <c r="F750" s="155" t="str">
        <f>_xlfn.XLOOKUP(B750,STUDIES!$A$3:$A$1063,STUDIES!$G$3:$G$1063,"Not Found!")</f>
        <v>A</v>
      </c>
      <c r="G750" s="273" t="s">
        <v>147</v>
      </c>
      <c r="H750" s="273">
        <v>16</v>
      </c>
      <c r="I750" s="273">
        <v>82</v>
      </c>
      <c r="R750" s="283">
        <v>-25.87</v>
      </c>
      <c r="T750" s="268">
        <v>13.984999999999999</v>
      </c>
    </row>
    <row r="751" spans="1:41" ht="18" customHeight="1" x14ac:dyDescent="0.35">
      <c r="A751" s="274">
        <f>MATCH(B751,STUDIES!$A$3:$A$502,0)</f>
        <v>55</v>
      </c>
      <c r="B751" s="272" t="s">
        <v>1259</v>
      </c>
      <c r="D751" s="281" t="s">
        <v>148</v>
      </c>
      <c r="E751" s="272" t="s">
        <v>151</v>
      </c>
      <c r="F751" s="155" t="str">
        <f>_xlfn.XLOOKUP(B751,STUDIES!$A$3:$A$1063,STUDIES!$G$3:$G$1063,"Not Found!")</f>
        <v>A</v>
      </c>
      <c r="G751" s="273" t="s">
        <v>147</v>
      </c>
      <c r="H751" s="273">
        <v>16</v>
      </c>
      <c r="I751" s="273">
        <v>83</v>
      </c>
      <c r="R751" s="283">
        <v>-12.6</v>
      </c>
      <c r="T751" s="268">
        <v>12.484</v>
      </c>
    </row>
    <row r="752" spans="1:41" ht="18" customHeight="1" x14ac:dyDescent="0.35">
      <c r="A752" s="274">
        <f>MATCH(B752,STUDIES!$A$3:$A$502,0)</f>
        <v>55</v>
      </c>
      <c r="B752" s="272" t="s">
        <v>1259</v>
      </c>
      <c r="D752" s="281" t="s">
        <v>1056</v>
      </c>
      <c r="E752" s="272" t="s">
        <v>153</v>
      </c>
      <c r="F752" s="155" t="str">
        <f>_xlfn.XLOOKUP(B752,STUDIES!$A$3:$A$1063,STUDIES!$G$3:$G$1063,"Not Found!")</f>
        <v>A</v>
      </c>
      <c r="G752" s="273" t="s">
        <v>147</v>
      </c>
      <c r="H752" s="273">
        <v>16</v>
      </c>
      <c r="I752" s="273">
        <v>82</v>
      </c>
      <c r="R752" s="283">
        <v>-12.89</v>
      </c>
      <c r="S752" s="268">
        <v>0.68500000000000005</v>
      </c>
    </row>
    <row r="753" spans="1:23" ht="18" customHeight="1" x14ac:dyDescent="0.35">
      <c r="A753" s="274">
        <f>MATCH(B753,STUDIES!$A$3:$A$502,0)</f>
        <v>55</v>
      </c>
      <c r="B753" s="272" t="s">
        <v>1259</v>
      </c>
      <c r="D753" s="281" t="s">
        <v>148</v>
      </c>
      <c r="E753" s="272" t="s">
        <v>153</v>
      </c>
      <c r="F753" s="155" t="str">
        <f>_xlfn.XLOOKUP(B753,STUDIES!$A$3:$A$1063,STUDIES!$G$3:$G$1063,"Not Found!")</f>
        <v>A</v>
      </c>
      <c r="G753" s="273" t="s">
        <v>147</v>
      </c>
      <c r="H753" s="273">
        <v>16</v>
      </c>
      <c r="I753" s="273">
        <v>83</v>
      </c>
      <c r="R753" s="283">
        <v>-4.04</v>
      </c>
      <c r="S753" s="268">
        <v>0.78800000000000003</v>
      </c>
    </row>
    <row r="754" spans="1:23" ht="18" customHeight="1" x14ac:dyDescent="0.35">
      <c r="A754" s="274">
        <f>MATCH(B754,STUDIES!$A$3:$A$502,0)</f>
        <v>55</v>
      </c>
      <c r="B754" s="272" t="s">
        <v>1259</v>
      </c>
      <c r="D754" s="281" t="s">
        <v>1056</v>
      </c>
      <c r="E754" s="272" t="s">
        <v>154</v>
      </c>
      <c r="F754" s="155" t="str">
        <f>_xlfn.XLOOKUP(B754,STUDIES!$A$3:$A$1063,STUDIES!$G$3:$G$1063,"Not Found!")</f>
        <v>A</v>
      </c>
      <c r="G754" s="273" t="s">
        <v>147</v>
      </c>
      <c r="H754" s="273">
        <v>16</v>
      </c>
      <c r="I754" s="273">
        <v>82</v>
      </c>
      <c r="R754" s="283">
        <v>-10.33</v>
      </c>
      <c r="S754" s="268">
        <v>0.625</v>
      </c>
    </row>
    <row r="755" spans="1:23" ht="18" customHeight="1" x14ac:dyDescent="0.35">
      <c r="A755" s="274">
        <f>MATCH(B755,STUDIES!$A$3:$A$502,0)</f>
        <v>55</v>
      </c>
      <c r="B755" s="272" t="s">
        <v>1259</v>
      </c>
      <c r="D755" s="281" t="s">
        <v>148</v>
      </c>
      <c r="E755" s="272" t="s">
        <v>154</v>
      </c>
      <c r="F755" s="155" t="str">
        <f>_xlfn.XLOOKUP(B755,STUDIES!$A$3:$A$1063,STUDIES!$G$3:$G$1063,"Not Found!")</f>
        <v>A</v>
      </c>
      <c r="G755" s="273" t="s">
        <v>147</v>
      </c>
      <c r="H755" s="273">
        <v>16</v>
      </c>
      <c r="I755" s="273">
        <v>83</v>
      </c>
      <c r="R755" s="283">
        <v>-5.0599999999999996</v>
      </c>
      <c r="S755" s="268">
        <v>0.70099999999999996</v>
      </c>
    </row>
    <row r="756" spans="1:23" ht="18" customHeight="1" x14ac:dyDescent="0.35">
      <c r="A756" s="274">
        <f>MATCH(B756,STUDIES!$A$3:$A$502,0)</f>
        <v>56</v>
      </c>
      <c r="B756" s="116" t="s">
        <v>1256</v>
      </c>
      <c r="C756" s="193"/>
      <c r="D756" s="281" t="s">
        <v>148</v>
      </c>
      <c r="E756" s="272" t="s">
        <v>1163</v>
      </c>
      <c r="F756" s="155" t="str">
        <f>_xlfn.XLOOKUP(B756,STUDIES!$A$3:$A$1063,STUDIES!$G$3:$G$1063,"Not Found!")</f>
        <v>BC</v>
      </c>
      <c r="G756" s="273" t="s">
        <v>147</v>
      </c>
      <c r="H756" s="273">
        <v>12</v>
      </c>
      <c r="I756" s="273">
        <v>96</v>
      </c>
      <c r="J756" s="274">
        <v>2</v>
      </c>
    </row>
    <row r="757" spans="1:23" ht="18" customHeight="1" x14ac:dyDescent="0.35">
      <c r="A757" s="274">
        <f>MATCH(B757,STUDIES!$A$3:$A$502,0)</f>
        <v>56</v>
      </c>
      <c r="B757" s="116" t="s">
        <v>1256</v>
      </c>
      <c r="C757" s="193"/>
      <c r="D757" s="281" t="s">
        <v>148</v>
      </c>
      <c r="E757" s="272" t="s">
        <v>1167</v>
      </c>
      <c r="F757" s="155" t="str">
        <f>_xlfn.XLOOKUP(B757,STUDIES!$A$3:$A$1063,STUDIES!$G$3:$G$1063,"Not Found!")</f>
        <v>BC</v>
      </c>
      <c r="G757" s="273" t="s">
        <v>147</v>
      </c>
      <c r="H757" s="273">
        <v>12</v>
      </c>
      <c r="I757" s="273">
        <v>96</v>
      </c>
      <c r="J757" s="274">
        <v>2</v>
      </c>
    </row>
    <row r="758" spans="1:23" ht="18" customHeight="1" x14ac:dyDescent="0.35">
      <c r="A758" s="274">
        <f>MATCH(B758,STUDIES!$A$3:$A$502,0)</f>
        <v>56</v>
      </c>
      <c r="B758" s="116" t="s">
        <v>1256</v>
      </c>
      <c r="C758" s="193"/>
      <c r="D758" s="281" t="s">
        <v>1088</v>
      </c>
      <c r="E758" s="272" t="s">
        <v>1167</v>
      </c>
      <c r="F758" s="155" t="str">
        <f>_xlfn.XLOOKUP(B758,STUDIES!$A$3:$A$1063,STUDIES!$G$3:$G$1063,"Not Found!")</f>
        <v>BC</v>
      </c>
      <c r="G758" s="273" t="s">
        <v>147</v>
      </c>
      <c r="H758" s="273">
        <v>12</v>
      </c>
      <c r="I758" s="273">
        <v>95</v>
      </c>
      <c r="J758" s="274">
        <v>1</v>
      </c>
    </row>
    <row r="759" spans="1:23" ht="18" customHeight="1" x14ac:dyDescent="0.35">
      <c r="A759" s="274">
        <f>MATCH(B759,STUDIES!$A$3:$A$502,0)</f>
        <v>56</v>
      </c>
      <c r="B759" s="116" t="s">
        <v>1256</v>
      </c>
      <c r="C759" s="193"/>
      <c r="D759" s="281" t="s">
        <v>1089</v>
      </c>
      <c r="E759" s="272" t="s">
        <v>1167</v>
      </c>
      <c r="F759" s="155" t="str">
        <f>_xlfn.XLOOKUP(B759,STUDIES!$A$3:$A$1063,STUDIES!$G$3:$G$1063,"Not Found!")</f>
        <v>BC</v>
      </c>
      <c r="G759" s="273" t="s">
        <v>147</v>
      </c>
      <c r="H759" s="273">
        <v>12</v>
      </c>
      <c r="I759" s="273">
        <v>94</v>
      </c>
      <c r="J759" s="274">
        <v>2</v>
      </c>
    </row>
    <row r="760" spans="1:23" ht="18" customHeight="1" x14ac:dyDescent="0.35">
      <c r="A760" s="274">
        <f>MATCH(B760,STUDIES!$A$3:$A$502,0)</f>
        <v>56</v>
      </c>
      <c r="B760" s="116" t="s">
        <v>1256</v>
      </c>
      <c r="C760" s="193"/>
      <c r="D760" s="281" t="s">
        <v>1088</v>
      </c>
      <c r="E760" s="272" t="s">
        <v>1163</v>
      </c>
      <c r="F760" s="155" t="str">
        <f>_xlfn.XLOOKUP(B760,STUDIES!$A$3:$A$1063,STUDIES!$G$3:$G$1063,"Not Found!")</f>
        <v>BC</v>
      </c>
      <c r="G760" s="273" t="s">
        <v>147</v>
      </c>
      <c r="H760" s="273">
        <v>12</v>
      </c>
      <c r="I760" s="273">
        <v>95</v>
      </c>
      <c r="J760" s="274">
        <v>0</v>
      </c>
    </row>
    <row r="761" spans="1:23" ht="18" customHeight="1" x14ac:dyDescent="0.35">
      <c r="A761" s="274">
        <f>MATCH(B761,STUDIES!$A$3:$A$502,0)</f>
        <v>56</v>
      </c>
      <c r="B761" s="116" t="s">
        <v>1256</v>
      </c>
      <c r="C761" s="193"/>
      <c r="D761" s="281" t="s">
        <v>1089</v>
      </c>
      <c r="E761" s="272" t="s">
        <v>1163</v>
      </c>
      <c r="F761" s="155" t="str">
        <f>_xlfn.XLOOKUP(B761,STUDIES!$A$3:$A$1063,STUDIES!$G$3:$G$1063,"Not Found!")</f>
        <v>BC</v>
      </c>
      <c r="G761" s="273" t="s">
        <v>147</v>
      </c>
      <c r="H761" s="273">
        <v>12</v>
      </c>
      <c r="I761" s="273">
        <v>94</v>
      </c>
      <c r="J761" s="274">
        <v>1</v>
      </c>
    </row>
    <row r="762" spans="1:23" ht="18" customHeight="1" x14ac:dyDescent="0.35">
      <c r="A762" s="274">
        <f>MATCH(B762,STUDIES!$A$3:$A$502,0)</f>
        <v>56</v>
      </c>
      <c r="B762" s="116" t="s">
        <v>1256</v>
      </c>
      <c r="C762" s="193"/>
      <c r="D762" s="281" t="s">
        <v>148</v>
      </c>
      <c r="E762" s="272" t="s">
        <v>151</v>
      </c>
      <c r="F762" s="155" t="str">
        <f>_xlfn.XLOOKUP(B762,STUDIES!$A$3:$A$1063,STUDIES!$G$3:$G$1063,"Not Found!")</f>
        <v>BC</v>
      </c>
      <c r="G762" s="273" t="s">
        <v>147</v>
      </c>
      <c r="H762" s="273">
        <v>12</v>
      </c>
      <c r="I762" s="273">
        <v>96</v>
      </c>
      <c r="Q762" s="275"/>
      <c r="R762" s="276">
        <v>-18</v>
      </c>
      <c r="U762" s="268">
        <v>-19.899999999999999</v>
      </c>
      <c r="V762" s="268">
        <v>-16.100000000000001</v>
      </c>
      <c r="W762" s="268">
        <v>0.95</v>
      </c>
    </row>
    <row r="763" spans="1:23" ht="18" customHeight="1" x14ac:dyDescent="0.35">
      <c r="A763" s="274">
        <f>MATCH(B763,STUDIES!$A$3:$A$502,0)</f>
        <v>56</v>
      </c>
      <c r="B763" s="116" t="s">
        <v>1256</v>
      </c>
      <c r="C763" s="193"/>
      <c r="D763" s="281" t="s">
        <v>1088</v>
      </c>
      <c r="E763" s="272" t="s">
        <v>151</v>
      </c>
      <c r="F763" s="155" t="str">
        <f>_xlfn.XLOOKUP(B763,STUDIES!$A$3:$A$1063,STUDIES!$G$3:$G$1063,"Not Found!")</f>
        <v>BC</v>
      </c>
      <c r="G763" s="273" t="s">
        <v>147</v>
      </c>
      <c r="H763" s="273">
        <v>12</v>
      </c>
      <c r="I763" s="273">
        <v>95</v>
      </c>
      <c r="Q763" s="275"/>
      <c r="R763" s="276">
        <v>-23</v>
      </c>
      <c r="U763" s="268">
        <v>-24.9</v>
      </c>
      <c r="V763" s="268">
        <v>-21.1</v>
      </c>
      <c r="W763" s="268">
        <v>0.95</v>
      </c>
    </row>
    <row r="764" spans="1:23" ht="18" customHeight="1" x14ac:dyDescent="0.35">
      <c r="A764" s="274">
        <f>MATCH(B764,STUDIES!$A$3:$A$502,0)</f>
        <v>56</v>
      </c>
      <c r="B764" s="116" t="s">
        <v>1256</v>
      </c>
      <c r="C764" s="193"/>
      <c r="D764" s="281" t="s">
        <v>1089</v>
      </c>
      <c r="E764" s="272" t="s">
        <v>151</v>
      </c>
      <c r="F764" s="155" t="str">
        <f>_xlfn.XLOOKUP(B764,STUDIES!$A$3:$A$1063,STUDIES!$G$3:$G$1063,"Not Found!")</f>
        <v>BC</v>
      </c>
      <c r="G764" s="273" t="s">
        <v>147</v>
      </c>
      <c r="H764" s="273">
        <v>12</v>
      </c>
      <c r="I764" s="273">
        <v>94</v>
      </c>
      <c r="Q764" s="275"/>
      <c r="R764" s="276">
        <v>-23.6</v>
      </c>
      <c r="U764" s="268">
        <v>-25.5</v>
      </c>
      <c r="V764" s="268">
        <v>-21.7</v>
      </c>
      <c r="W764" s="268">
        <v>0.95</v>
      </c>
    </row>
    <row r="765" spans="1:23" ht="18" customHeight="1" x14ac:dyDescent="0.35">
      <c r="A765" s="274">
        <f>MATCH(B765,STUDIES!$A$3:$A$502,0)</f>
        <v>56</v>
      </c>
      <c r="B765" s="116" t="s">
        <v>1256</v>
      </c>
      <c r="C765" s="193"/>
      <c r="D765" s="281" t="s">
        <v>148</v>
      </c>
      <c r="E765" s="272" t="s">
        <v>695</v>
      </c>
      <c r="F765" s="155" t="str">
        <f>_xlfn.XLOOKUP(B765,STUDIES!$A$3:$A$1063,STUDIES!$G$3:$G$1063,"Not Found!")</f>
        <v>BC</v>
      </c>
      <c r="G765" s="273" t="s">
        <v>147</v>
      </c>
      <c r="H765" s="273">
        <v>12</v>
      </c>
      <c r="I765" s="273">
        <v>96</v>
      </c>
      <c r="Q765" s="275"/>
      <c r="R765" s="276">
        <v>-2.7</v>
      </c>
      <c r="U765" s="268">
        <v>-3.2</v>
      </c>
      <c r="V765" s="268">
        <v>-2.2000000000000002</v>
      </c>
      <c r="W765" s="268">
        <v>0.95</v>
      </c>
    </row>
    <row r="766" spans="1:23" ht="18" customHeight="1" x14ac:dyDescent="0.35">
      <c r="A766" s="274">
        <f>MATCH(B766,STUDIES!$A$3:$A$502,0)</f>
        <v>56</v>
      </c>
      <c r="B766" s="116" t="s">
        <v>1256</v>
      </c>
      <c r="C766" s="193"/>
      <c r="D766" s="281" t="s">
        <v>1088</v>
      </c>
      <c r="E766" s="272" t="s">
        <v>695</v>
      </c>
      <c r="F766" s="155" t="str">
        <f>_xlfn.XLOOKUP(B766,STUDIES!$A$3:$A$1063,STUDIES!$G$3:$G$1063,"Not Found!")</f>
        <v>BC</v>
      </c>
      <c r="G766" s="273" t="s">
        <v>147</v>
      </c>
      <c r="H766" s="273">
        <v>12</v>
      </c>
      <c r="I766" s="273">
        <v>95</v>
      </c>
      <c r="Q766" s="275"/>
      <c r="R766" s="276">
        <v>-3.7</v>
      </c>
      <c r="U766" s="268">
        <v>-4.2</v>
      </c>
      <c r="V766" s="268">
        <v>-3.2</v>
      </c>
      <c r="W766" s="268">
        <v>0.95</v>
      </c>
    </row>
    <row r="767" spans="1:23" ht="18" customHeight="1" x14ac:dyDescent="0.35">
      <c r="A767" s="274">
        <f>MATCH(B767,STUDIES!$A$3:$A$502,0)</f>
        <v>56</v>
      </c>
      <c r="B767" s="116" t="s">
        <v>1256</v>
      </c>
      <c r="C767" s="193"/>
      <c r="D767" s="281" t="s">
        <v>1089</v>
      </c>
      <c r="E767" s="272" t="s">
        <v>695</v>
      </c>
      <c r="F767" s="155" t="str">
        <f>_xlfn.XLOOKUP(B767,STUDIES!$A$3:$A$1063,STUDIES!$G$3:$G$1063,"Not Found!")</f>
        <v>BC</v>
      </c>
      <c r="G767" s="273" t="s">
        <v>147</v>
      </c>
      <c r="H767" s="273">
        <v>12</v>
      </c>
      <c r="I767" s="273">
        <v>94</v>
      </c>
      <c r="Q767" s="275"/>
      <c r="R767" s="276">
        <v>-3.9</v>
      </c>
      <c r="U767" s="268">
        <v>-4.4000000000000004</v>
      </c>
      <c r="V767" s="268">
        <v>-3.4</v>
      </c>
      <c r="W767" s="268">
        <v>0.95</v>
      </c>
    </row>
    <row r="768" spans="1:23" ht="18" customHeight="1" x14ac:dyDescent="0.35">
      <c r="A768" s="274">
        <f>MATCH(B768,STUDIES!$A$3:$A$502,0)</f>
        <v>56</v>
      </c>
      <c r="B768" s="116" t="s">
        <v>1256</v>
      </c>
      <c r="C768" s="193"/>
      <c r="D768" s="281" t="s">
        <v>148</v>
      </c>
      <c r="E768" s="272" t="s">
        <v>1243</v>
      </c>
      <c r="F768" s="155" t="str">
        <f>_xlfn.XLOOKUP(B768,STUDIES!$A$3:$A$1063,STUDIES!$G$3:$G$1063,"Not Found!")</f>
        <v>BC</v>
      </c>
      <c r="G768" s="273" t="s">
        <v>147</v>
      </c>
      <c r="H768" s="273">
        <v>12</v>
      </c>
      <c r="I768" s="273">
        <v>94</v>
      </c>
      <c r="J768" s="274">
        <v>39</v>
      </c>
      <c r="Q768" s="275"/>
      <c r="R768" s="276"/>
    </row>
    <row r="769" spans="1:23" ht="18" customHeight="1" x14ac:dyDescent="0.35">
      <c r="A769" s="274">
        <f>MATCH(B769,STUDIES!$A$3:$A$502,0)</f>
        <v>56</v>
      </c>
      <c r="B769" s="116" t="s">
        <v>1256</v>
      </c>
      <c r="C769" s="193"/>
      <c r="D769" s="281" t="s">
        <v>1088</v>
      </c>
      <c r="E769" s="272" t="s">
        <v>1243</v>
      </c>
      <c r="F769" s="155" t="str">
        <f>_xlfn.XLOOKUP(B769,STUDIES!$A$3:$A$1063,STUDIES!$G$3:$G$1063,"Not Found!")</f>
        <v>BC</v>
      </c>
      <c r="G769" s="273" t="s">
        <v>147</v>
      </c>
      <c r="H769" s="273">
        <v>12</v>
      </c>
      <c r="I769" s="273">
        <v>89</v>
      </c>
      <c r="J769" s="274">
        <v>61</v>
      </c>
      <c r="Q769" s="275"/>
      <c r="R769" s="276"/>
    </row>
    <row r="770" spans="1:23" ht="18" customHeight="1" x14ac:dyDescent="0.35">
      <c r="A770" s="274">
        <f>MATCH(B770,STUDIES!$A$3:$A$502,0)</f>
        <v>56</v>
      </c>
      <c r="B770" s="116" t="s">
        <v>1256</v>
      </c>
      <c r="C770" s="193"/>
      <c r="D770" s="281" t="s">
        <v>1089</v>
      </c>
      <c r="E770" s="272" t="s">
        <v>1243</v>
      </c>
      <c r="F770" s="155" t="str">
        <f>_xlfn.XLOOKUP(B770,STUDIES!$A$3:$A$1063,STUDIES!$G$3:$G$1063,"Not Found!")</f>
        <v>BC</v>
      </c>
      <c r="G770" s="273" t="s">
        <v>147</v>
      </c>
      <c r="H770" s="273">
        <v>12</v>
      </c>
      <c r="I770" s="273">
        <v>93</v>
      </c>
      <c r="J770" s="274">
        <v>67</v>
      </c>
      <c r="Q770" s="275"/>
      <c r="R770" s="276"/>
    </row>
    <row r="771" spans="1:23" ht="18" customHeight="1" x14ac:dyDescent="0.35">
      <c r="A771" s="274">
        <f>MATCH(B771,STUDIES!$A$3:$A$502,0)</f>
        <v>56</v>
      </c>
      <c r="B771" s="116" t="s">
        <v>1256</v>
      </c>
      <c r="C771" s="193"/>
      <c r="D771" s="281" t="s">
        <v>148</v>
      </c>
      <c r="E771" s="272" t="s">
        <v>1244</v>
      </c>
      <c r="F771" s="155" t="str">
        <f>_xlfn.XLOOKUP(B771,STUDIES!$A$3:$A$1063,STUDIES!$G$3:$G$1063,"Not Found!")</f>
        <v>BC</v>
      </c>
      <c r="G771" s="273" t="s">
        <v>147</v>
      </c>
      <c r="H771" s="273">
        <v>12</v>
      </c>
      <c r="I771" s="273">
        <v>94</v>
      </c>
      <c r="J771" s="274">
        <v>17</v>
      </c>
      <c r="Q771" s="275"/>
      <c r="R771" s="276"/>
    </row>
    <row r="772" spans="1:23" ht="18" customHeight="1" x14ac:dyDescent="0.35">
      <c r="A772" s="274">
        <f>MATCH(B772,STUDIES!$A$3:$A$502,0)</f>
        <v>56</v>
      </c>
      <c r="B772" s="116" t="s">
        <v>1256</v>
      </c>
      <c r="C772" s="193"/>
      <c r="D772" s="281" t="s">
        <v>1088</v>
      </c>
      <c r="E772" s="272" t="s">
        <v>1244</v>
      </c>
      <c r="F772" s="155" t="str">
        <f>_xlfn.XLOOKUP(B772,STUDIES!$A$3:$A$1063,STUDIES!$G$3:$G$1063,"Not Found!")</f>
        <v>BC</v>
      </c>
      <c r="G772" s="273" t="s">
        <v>147</v>
      </c>
      <c r="H772" s="273">
        <v>12</v>
      </c>
      <c r="I772" s="273">
        <v>89</v>
      </c>
      <c r="J772" s="274">
        <v>37</v>
      </c>
      <c r="Q772" s="275"/>
      <c r="R772" s="276"/>
    </row>
    <row r="773" spans="1:23" ht="18" customHeight="1" x14ac:dyDescent="0.35">
      <c r="A773" s="274">
        <f>MATCH(B773,STUDIES!$A$3:$A$502,0)</f>
        <v>56</v>
      </c>
      <c r="B773" s="116" t="s">
        <v>1256</v>
      </c>
      <c r="C773" s="193"/>
      <c r="D773" s="281" t="s">
        <v>1089</v>
      </c>
      <c r="E773" s="272" t="s">
        <v>1244</v>
      </c>
      <c r="F773" s="155" t="str">
        <f>_xlfn.XLOOKUP(B773,STUDIES!$A$3:$A$1063,STUDIES!$G$3:$G$1063,"Not Found!")</f>
        <v>BC</v>
      </c>
      <c r="G773" s="273" t="s">
        <v>147</v>
      </c>
      <c r="H773" s="273">
        <v>12</v>
      </c>
      <c r="I773" s="273">
        <v>93</v>
      </c>
      <c r="J773" s="274">
        <v>46</v>
      </c>
      <c r="Q773" s="275"/>
      <c r="R773" s="276"/>
    </row>
    <row r="774" spans="1:23" ht="18" customHeight="1" x14ac:dyDescent="0.35">
      <c r="A774" s="274">
        <f>MATCH(B774,STUDIES!$A$3:$A$502,0)</f>
        <v>56</v>
      </c>
      <c r="B774" s="116" t="s">
        <v>1256</v>
      </c>
      <c r="C774" s="193"/>
      <c r="D774" s="281" t="s">
        <v>148</v>
      </c>
      <c r="E774" s="272" t="s">
        <v>1258</v>
      </c>
      <c r="F774" s="155" t="str">
        <f>_xlfn.XLOOKUP(B774,STUDIES!$A$3:$A$1063,STUDIES!$G$3:$G$1063,"Not Found!")</f>
        <v>BC</v>
      </c>
      <c r="G774" s="273" t="s">
        <v>147</v>
      </c>
      <c r="H774" s="273">
        <v>12</v>
      </c>
      <c r="I774" s="273">
        <v>94</v>
      </c>
      <c r="J774" s="274">
        <v>65</v>
      </c>
      <c r="Q774" s="275"/>
      <c r="R774" s="276"/>
    </row>
    <row r="775" spans="1:23" ht="18" customHeight="1" x14ac:dyDescent="0.35">
      <c r="A775" s="274">
        <f>MATCH(B775,STUDIES!$A$3:$A$502,0)</f>
        <v>56</v>
      </c>
      <c r="B775" s="116" t="s">
        <v>1256</v>
      </c>
      <c r="C775" s="193"/>
      <c r="D775" s="281" t="s">
        <v>1088</v>
      </c>
      <c r="E775" s="272" t="s">
        <v>1258</v>
      </c>
      <c r="F775" s="155" t="str">
        <f>_xlfn.XLOOKUP(B775,STUDIES!$A$3:$A$1063,STUDIES!$G$3:$G$1063,"Not Found!")</f>
        <v>BC</v>
      </c>
      <c r="G775" s="273" t="s">
        <v>147</v>
      </c>
      <c r="H775" s="273">
        <v>12</v>
      </c>
      <c r="I775" s="273">
        <v>89</v>
      </c>
      <c r="J775" s="274">
        <v>78</v>
      </c>
      <c r="Q775" s="275"/>
      <c r="R775" s="276"/>
    </row>
    <row r="776" spans="1:23" ht="18" customHeight="1" x14ac:dyDescent="0.35">
      <c r="A776" s="274">
        <f>MATCH(B776,STUDIES!$A$3:$A$502,0)</f>
        <v>56</v>
      </c>
      <c r="B776" s="116" t="s">
        <v>1256</v>
      </c>
      <c r="C776" s="193"/>
      <c r="D776" s="281" t="s">
        <v>1089</v>
      </c>
      <c r="E776" s="272" t="s">
        <v>1258</v>
      </c>
      <c r="F776" s="155" t="str">
        <f>_xlfn.XLOOKUP(B776,STUDIES!$A$3:$A$1063,STUDIES!$G$3:$G$1063,"Not Found!")</f>
        <v>BC</v>
      </c>
      <c r="G776" s="273" t="s">
        <v>147</v>
      </c>
      <c r="H776" s="273">
        <v>12</v>
      </c>
      <c r="I776" s="273">
        <v>93</v>
      </c>
      <c r="J776" s="274">
        <v>81</v>
      </c>
      <c r="Q776" s="275"/>
      <c r="R776" s="276"/>
    </row>
    <row r="777" spans="1:23" ht="18" customHeight="1" x14ac:dyDescent="0.35">
      <c r="A777" s="274">
        <f>MATCH(B777,STUDIES!$A$3:$A$502,0)</f>
        <v>56</v>
      </c>
      <c r="B777" s="116" t="s">
        <v>1256</v>
      </c>
      <c r="C777" s="193"/>
      <c r="D777" s="281" t="s">
        <v>148</v>
      </c>
      <c r="E777" s="272" t="s">
        <v>1268</v>
      </c>
      <c r="F777" s="155" t="str">
        <f>_xlfn.XLOOKUP(B777,STUDIES!$A$3:$A$1063,STUDIES!$G$3:$G$1063,"Not Found!")</f>
        <v>BC</v>
      </c>
      <c r="G777" s="273" t="s">
        <v>147</v>
      </c>
      <c r="H777" s="273">
        <v>12</v>
      </c>
      <c r="I777" s="273">
        <v>94</v>
      </c>
      <c r="J777" s="274">
        <v>23</v>
      </c>
      <c r="Q777" s="275"/>
      <c r="R777" s="276"/>
    </row>
    <row r="778" spans="1:23" ht="18" customHeight="1" x14ac:dyDescent="0.35">
      <c r="A778" s="274">
        <f>MATCH(B778,STUDIES!$A$3:$A$502,0)</f>
        <v>56</v>
      </c>
      <c r="B778" s="116" t="s">
        <v>1256</v>
      </c>
      <c r="C778" s="193"/>
      <c r="D778" s="281" t="s">
        <v>1088</v>
      </c>
      <c r="E778" s="272" t="s">
        <v>1268</v>
      </c>
      <c r="F778" s="155" t="str">
        <f>_xlfn.XLOOKUP(B778,STUDIES!$A$3:$A$1063,STUDIES!$G$3:$G$1063,"Not Found!")</f>
        <v>BC</v>
      </c>
      <c r="G778" s="273" t="s">
        <v>147</v>
      </c>
      <c r="H778" s="273">
        <v>12</v>
      </c>
      <c r="I778" s="273">
        <v>89</v>
      </c>
      <c r="J778" s="274">
        <v>37</v>
      </c>
      <c r="Q778" s="275"/>
      <c r="R778" s="276"/>
    </row>
    <row r="779" spans="1:23" ht="18" customHeight="1" x14ac:dyDescent="0.35">
      <c r="A779" s="274">
        <f>MATCH(B779,STUDIES!$A$3:$A$502,0)</f>
        <v>56</v>
      </c>
      <c r="B779" s="116" t="s">
        <v>1256</v>
      </c>
      <c r="C779" s="193"/>
      <c r="D779" s="281" t="s">
        <v>1089</v>
      </c>
      <c r="E779" s="272" t="s">
        <v>1268</v>
      </c>
      <c r="F779" s="155" t="str">
        <f>_xlfn.XLOOKUP(B779,STUDIES!$A$3:$A$1063,STUDIES!$G$3:$G$1063,"Not Found!")</f>
        <v>BC</v>
      </c>
      <c r="G779" s="273" t="s">
        <v>147</v>
      </c>
      <c r="H779" s="273">
        <v>12</v>
      </c>
      <c r="I779" s="273">
        <v>93</v>
      </c>
      <c r="J779" s="274">
        <v>43</v>
      </c>
      <c r="Q779" s="275"/>
      <c r="R779" s="276"/>
    </row>
    <row r="780" spans="1:23" ht="18" customHeight="1" x14ac:dyDescent="0.35">
      <c r="A780" s="274">
        <f>MATCH(B780,STUDIES!$A$3:$A$502,0)</f>
        <v>56</v>
      </c>
      <c r="B780" s="116" t="s">
        <v>1256</v>
      </c>
      <c r="C780" s="193"/>
      <c r="D780" s="281" t="s">
        <v>148</v>
      </c>
      <c r="E780" s="272" t="s">
        <v>694</v>
      </c>
      <c r="F780" s="155" t="str">
        <f>_xlfn.XLOOKUP(B780,STUDIES!$A$3:$A$1063,STUDIES!$G$3:$G$1063,"Not Found!")</f>
        <v>BC</v>
      </c>
      <c r="G780" s="273" t="s">
        <v>147</v>
      </c>
      <c r="H780" s="273">
        <v>12</v>
      </c>
      <c r="I780" s="273">
        <v>96</v>
      </c>
      <c r="R780" s="283">
        <v>-6.3</v>
      </c>
      <c r="U780" s="268">
        <v>-7.4</v>
      </c>
      <c r="V780" s="268">
        <v>-5.3</v>
      </c>
      <c r="W780" s="268">
        <v>0.95</v>
      </c>
    </row>
    <row r="781" spans="1:23" ht="18" customHeight="1" x14ac:dyDescent="0.35">
      <c r="A781" s="274">
        <f>MATCH(B781,STUDIES!$A$3:$A$502,0)</f>
        <v>56</v>
      </c>
      <c r="B781" s="116" t="s">
        <v>1256</v>
      </c>
      <c r="C781" s="193"/>
      <c r="D781" s="281" t="s">
        <v>1088</v>
      </c>
      <c r="E781" s="272" t="s">
        <v>694</v>
      </c>
      <c r="F781" s="155" t="str">
        <f>_xlfn.XLOOKUP(B781,STUDIES!$A$3:$A$1063,STUDIES!$G$3:$G$1063,"Not Found!")</f>
        <v>BC</v>
      </c>
      <c r="G781" s="273" t="s">
        <v>147</v>
      </c>
      <c r="H781" s="273">
        <v>12</v>
      </c>
      <c r="I781" s="273">
        <v>95</v>
      </c>
      <c r="R781" s="283">
        <v>-8.6</v>
      </c>
      <c r="U781" s="268">
        <v>-9.6</v>
      </c>
      <c r="V781" s="268">
        <v>-7.5</v>
      </c>
      <c r="W781" s="268">
        <v>0.95</v>
      </c>
    </row>
    <row r="782" spans="1:23" ht="18" customHeight="1" x14ac:dyDescent="0.35">
      <c r="A782" s="274">
        <f>MATCH(B782,STUDIES!$A$3:$A$502,0)</f>
        <v>56</v>
      </c>
      <c r="B782" s="116" t="s">
        <v>1256</v>
      </c>
      <c r="C782" s="193"/>
      <c r="D782" s="281" t="s">
        <v>1089</v>
      </c>
      <c r="E782" s="272" t="s">
        <v>694</v>
      </c>
      <c r="F782" s="155" t="str">
        <f>_xlfn.XLOOKUP(B782,STUDIES!$A$3:$A$1063,STUDIES!$G$3:$G$1063,"Not Found!")</f>
        <v>BC</v>
      </c>
      <c r="G782" s="273" t="s">
        <v>147</v>
      </c>
      <c r="H782" s="273">
        <v>12</v>
      </c>
      <c r="I782" s="273">
        <v>94</v>
      </c>
      <c r="R782" s="283">
        <v>-8.6999999999999993</v>
      </c>
      <c r="U782" s="268">
        <v>-9.6999999999999993</v>
      </c>
      <c r="V782" s="268">
        <v>-7.6</v>
      </c>
      <c r="W782" s="268">
        <v>0.95</v>
      </c>
    </row>
    <row r="783" spans="1:23" ht="18" customHeight="1" x14ac:dyDescent="0.35">
      <c r="A783" s="274">
        <f>MATCH(B783,STUDIES!$A$3:$A$502,0)</f>
        <v>56</v>
      </c>
      <c r="B783" s="116" t="s">
        <v>1256</v>
      </c>
      <c r="C783" s="193"/>
      <c r="D783" s="281" t="s">
        <v>148</v>
      </c>
      <c r="E783" s="272" t="s">
        <v>153</v>
      </c>
      <c r="F783" s="155" t="str">
        <f>_xlfn.XLOOKUP(B783,STUDIES!$A$3:$A$1063,STUDIES!$G$3:$G$1063,"Not Found!")</f>
        <v>BC</v>
      </c>
      <c r="G783" s="273" t="s">
        <v>147</v>
      </c>
      <c r="H783" s="273">
        <v>12</v>
      </c>
      <c r="I783" s="273">
        <v>95</v>
      </c>
      <c r="R783" s="283">
        <v>-6.9</v>
      </c>
      <c r="U783" s="268">
        <v>-8.3000000000000007</v>
      </c>
      <c r="V783" s="268">
        <v>-5.6</v>
      </c>
      <c r="W783" s="268">
        <v>0.95</v>
      </c>
    </row>
    <row r="784" spans="1:23" ht="18" customHeight="1" x14ac:dyDescent="0.35">
      <c r="A784" s="274">
        <f>MATCH(B784,STUDIES!$A$3:$A$502,0)</f>
        <v>56</v>
      </c>
      <c r="B784" s="116" t="s">
        <v>1256</v>
      </c>
      <c r="C784" s="193"/>
      <c r="D784" s="281" t="s">
        <v>1088</v>
      </c>
      <c r="E784" s="272" t="s">
        <v>153</v>
      </c>
      <c r="F784" s="155" t="str">
        <f>_xlfn.XLOOKUP(B784,STUDIES!$A$3:$A$1063,STUDIES!$G$3:$G$1063,"Not Found!")</f>
        <v>BC</v>
      </c>
      <c r="G784" s="273" t="s">
        <v>147</v>
      </c>
      <c r="H784" s="273">
        <v>12</v>
      </c>
      <c r="I784" s="273">
        <v>95</v>
      </c>
      <c r="R784" s="283">
        <v>-11.1</v>
      </c>
      <c r="U784" s="268">
        <v>-12.5</v>
      </c>
      <c r="V784" s="268">
        <v>-9.6999999999999993</v>
      </c>
      <c r="W784" s="268">
        <v>0.95</v>
      </c>
    </row>
    <row r="785" spans="1:41" ht="18" customHeight="1" x14ac:dyDescent="0.35">
      <c r="A785" s="274">
        <f>MATCH(B785,STUDIES!$A$3:$A$502,0)</f>
        <v>56</v>
      </c>
      <c r="B785" s="116" t="s">
        <v>1256</v>
      </c>
      <c r="C785" s="193"/>
      <c r="D785" s="281" t="s">
        <v>1089</v>
      </c>
      <c r="E785" s="272" t="s">
        <v>153</v>
      </c>
      <c r="F785" s="155" t="str">
        <f>_xlfn.XLOOKUP(B785,STUDIES!$A$3:$A$1063,STUDIES!$G$3:$G$1063,"Not Found!")</f>
        <v>BC</v>
      </c>
      <c r="G785" s="273" t="s">
        <v>147</v>
      </c>
      <c r="H785" s="273">
        <v>12</v>
      </c>
      <c r="I785" s="273">
        <v>94</v>
      </c>
      <c r="R785" s="283">
        <v>-10.9</v>
      </c>
      <c r="U785" s="268">
        <v>-12.2</v>
      </c>
      <c r="V785" s="268">
        <v>-9.5</v>
      </c>
      <c r="W785" s="268">
        <v>0.95</v>
      </c>
    </row>
    <row r="786" spans="1:41" ht="18" customHeight="1" x14ac:dyDescent="0.35">
      <c r="A786" s="274">
        <f>MATCH(B786,STUDIES!$A$3:$A$502,0)</f>
        <v>57</v>
      </c>
      <c r="B786" s="272" t="s">
        <v>1191</v>
      </c>
      <c r="D786" s="281" t="s">
        <v>148</v>
      </c>
      <c r="E786" s="272" t="s">
        <v>1163</v>
      </c>
      <c r="F786" s="155" t="str">
        <f>_xlfn.XLOOKUP(B786,STUDIES!$A$3:$A$1063,STUDIES!$G$3:$G$1063,"Not Found!")</f>
        <v>A</v>
      </c>
      <c r="G786" s="273" t="s">
        <v>147</v>
      </c>
      <c r="H786" s="273">
        <v>16</v>
      </c>
      <c r="I786" s="273">
        <v>281</v>
      </c>
      <c r="J786" s="274">
        <v>8</v>
      </c>
    </row>
    <row r="787" spans="1:41" ht="18" customHeight="1" x14ac:dyDescent="0.35">
      <c r="A787" s="274">
        <f>MATCH(B787,STUDIES!$A$3:$A$502,0)</f>
        <v>57</v>
      </c>
      <c r="B787" s="272" t="s">
        <v>1191</v>
      </c>
      <c r="D787" s="281" t="s">
        <v>148</v>
      </c>
      <c r="E787" s="272" t="s">
        <v>1167</v>
      </c>
      <c r="F787" s="155" t="str">
        <f>_xlfn.XLOOKUP(B787,STUDIES!$A$3:$A$1063,STUDIES!$G$3:$G$1063,"Not Found!")</f>
        <v>A</v>
      </c>
      <c r="G787" s="273" t="s">
        <v>147</v>
      </c>
      <c r="H787" s="273">
        <v>16</v>
      </c>
      <c r="I787" s="273">
        <v>281</v>
      </c>
      <c r="J787" s="274">
        <v>12</v>
      </c>
    </row>
    <row r="788" spans="1:41" ht="18" customHeight="1" x14ac:dyDescent="0.35">
      <c r="A788" s="274">
        <f>MATCH(B788,STUDIES!$A$3:$A$502,0)</f>
        <v>57</v>
      </c>
      <c r="B788" s="272" t="s">
        <v>1191</v>
      </c>
      <c r="D788" s="281" t="s">
        <v>1098</v>
      </c>
      <c r="E788" s="272" t="s">
        <v>1167</v>
      </c>
      <c r="F788" s="155" t="str">
        <f>_xlfn.XLOOKUP(B788,STUDIES!$A$3:$A$1063,STUDIES!$G$3:$G$1063,"Not Found!")</f>
        <v>A</v>
      </c>
      <c r="G788" s="273" t="s">
        <v>147</v>
      </c>
      <c r="H788" s="273">
        <v>16</v>
      </c>
      <c r="I788" s="273">
        <v>281</v>
      </c>
      <c r="J788" s="274">
        <v>4</v>
      </c>
    </row>
    <row r="789" spans="1:41" ht="18" customHeight="1" x14ac:dyDescent="0.35">
      <c r="A789" s="274">
        <f>MATCH(B789,STUDIES!$A$3:$A$502,0)</f>
        <v>57</v>
      </c>
      <c r="B789" s="272" t="s">
        <v>1191</v>
      </c>
      <c r="D789" s="281" t="s">
        <v>1099</v>
      </c>
      <c r="E789" s="272" t="s">
        <v>1167</v>
      </c>
      <c r="F789" s="155" t="str">
        <f>_xlfn.XLOOKUP(B789,STUDIES!$A$3:$A$1063,STUDIES!$G$3:$G$1063,"Not Found!")</f>
        <v>A</v>
      </c>
      <c r="G789" s="273" t="s">
        <v>147</v>
      </c>
      <c r="H789" s="273">
        <v>16</v>
      </c>
      <c r="I789" s="273">
        <v>285</v>
      </c>
      <c r="J789" s="274">
        <v>11</v>
      </c>
    </row>
    <row r="790" spans="1:41" ht="18" customHeight="1" x14ac:dyDescent="0.35">
      <c r="A790" s="274">
        <f>MATCH(B790,STUDIES!$A$3:$A$502,0)</f>
        <v>57</v>
      </c>
      <c r="B790" s="272" t="s">
        <v>1191</v>
      </c>
      <c r="D790" s="281" t="s">
        <v>1098</v>
      </c>
      <c r="E790" s="272" t="s">
        <v>1163</v>
      </c>
      <c r="F790" s="155" t="str">
        <f>_xlfn.XLOOKUP(B790,STUDIES!$A$3:$A$1063,STUDIES!$G$3:$G$1063,"Not Found!")</f>
        <v>A</v>
      </c>
      <c r="G790" s="273" t="s">
        <v>147</v>
      </c>
      <c r="H790" s="273">
        <v>16</v>
      </c>
      <c r="I790" s="273">
        <v>281</v>
      </c>
      <c r="J790" s="274">
        <v>6</v>
      </c>
    </row>
    <row r="791" spans="1:41" ht="18" customHeight="1" x14ac:dyDescent="0.35">
      <c r="A791" s="274">
        <f>MATCH(B791,STUDIES!$A$3:$A$502,0)</f>
        <v>57</v>
      </c>
      <c r="B791" s="272" t="s">
        <v>1191</v>
      </c>
      <c r="D791" s="281" t="s">
        <v>1099</v>
      </c>
      <c r="E791" s="272" t="s">
        <v>1163</v>
      </c>
      <c r="F791" s="155" t="str">
        <f>_xlfn.XLOOKUP(B791,STUDIES!$A$3:$A$1063,STUDIES!$G$3:$G$1063,"Not Found!")</f>
        <v>A</v>
      </c>
      <c r="G791" s="273" t="s">
        <v>147</v>
      </c>
      <c r="H791" s="273">
        <v>16</v>
      </c>
      <c r="I791" s="273">
        <v>285</v>
      </c>
      <c r="J791" s="274">
        <v>8</v>
      </c>
    </row>
    <row r="792" spans="1:41" ht="18" customHeight="1" x14ac:dyDescent="0.35">
      <c r="A792" s="274">
        <f>MATCH(B792,STUDIES!$A$3:$A$502,0)</f>
        <v>57</v>
      </c>
      <c r="B792" s="272" t="s">
        <v>1191</v>
      </c>
      <c r="D792" s="281" t="s">
        <v>1098</v>
      </c>
      <c r="E792" s="272" t="s">
        <v>151</v>
      </c>
      <c r="F792" s="155" t="str">
        <f>_xlfn.XLOOKUP(B792,STUDIES!$A$3:$A$1063,STUDIES!$G$3:$G$1063,"Not Found!")</f>
        <v>A</v>
      </c>
      <c r="G792" s="273" t="s">
        <v>147</v>
      </c>
      <c r="H792" s="273">
        <v>16</v>
      </c>
      <c r="I792" s="273">
        <v>244</v>
      </c>
      <c r="K792" s="268">
        <v>30.6</v>
      </c>
      <c r="M792" s="268">
        <v>12.8</v>
      </c>
      <c r="AJ792" s="276">
        <v>-80.2</v>
      </c>
      <c r="AM792" s="268">
        <v>-84</v>
      </c>
      <c r="AN792" s="268">
        <v>-76.5</v>
      </c>
      <c r="AO792" s="275">
        <v>0.95</v>
      </c>
    </row>
    <row r="793" spans="1:41" ht="18" customHeight="1" x14ac:dyDescent="0.35">
      <c r="A793" s="274">
        <f>MATCH(B793,STUDIES!$A$3:$A$502,0)</f>
        <v>57</v>
      </c>
      <c r="B793" s="272" t="s">
        <v>1191</v>
      </c>
      <c r="D793" s="281" t="s">
        <v>1099</v>
      </c>
      <c r="E793" s="272" t="s">
        <v>151</v>
      </c>
      <c r="F793" s="155" t="str">
        <f>_xlfn.XLOOKUP(B793,STUDIES!$A$3:$A$1063,STUDIES!$G$3:$G$1063,"Not Found!")</f>
        <v>A</v>
      </c>
      <c r="G793" s="273" t="s">
        <v>147</v>
      </c>
      <c r="H793" s="273">
        <v>16</v>
      </c>
      <c r="I793" s="273">
        <v>259</v>
      </c>
      <c r="K793" s="268">
        <v>29</v>
      </c>
      <c r="M793" s="268">
        <v>11.1</v>
      </c>
      <c r="AJ793" s="276">
        <v>-87.7</v>
      </c>
      <c r="AM793" s="268">
        <v>-91.4</v>
      </c>
      <c r="AN793" s="268">
        <v>-84.1</v>
      </c>
      <c r="AO793" s="275">
        <v>0.95</v>
      </c>
    </row>
    <row r="794" spans="1:41" ht="18" customHeight="1" x14ac:dyDescent="0.35">
      <c r="A794" s="274">
        <f>MATCH(B794,STUDIES!$A$3:$A$502,0)</f>
        <v>57</v>
      </c>
      <c r="B794" s="272" t="s">
        <v>1191</v>
      </c>
      <c r="D794" s="281" t="s">
        <v>148</v>
      </c>
      <c r="E794" s="272" t="s">
        <v>151</v>
      </c>
      <c r="F794" s="155" t="str">
        <f>_xlfn.XLOOKUP(B794,STUDIES!$A$3:$A$1063,STUDIES!$G$3:$G$1063,"Not Found!")</f>
        <v>A</v>
      </c>
      <c r="G794" s="273" t="s">
        <v>147</v>
      </c>
      <c r="H794" s="273">
        <v>16</v>
      </c>
      <c r="I794" s="273">
        <v>128</v>
      </c>
      <c r="K794" s="268">
        <v>28.8</v>
      </c>
      <c r="M794" s="268">
        <v>12.6</v>
      </c>
      <c r="AJ794" s="276">
        <v>-40.700000000000003</v>
      </c>
      <c r="AM794" s="268">
        <v>-45.2</v>
      </c>
      <c r="AN794" s="268">
        <v>-36.200000000000003</v>
      </c>
      <c r="AO794" s="275">
        <v>0.95</v>
      </c>
    </row>
    <row r="795" spans="1:41" ht="18" customHeight="1" x14ac:dyDescent="0.35">
      <c r="A795" s="274">
        <f>MATCH(B795,STUDIES!$A$3:$A$502,0)</f>
        <v>57</v>
      </c>
      <c r="B795" s="272" t="s">
        <v>1191</v>
      </c>
      <c r="D795" s="281" t="s">
        <v>1098</v>
      </c>
      <c r="E795" s="272" t="s">
        <v>695</v>
      </c>
      <c r="F795" s="155" t="str">
        <f>_xlfn.XLOOKUP(B795,STUDIES!$A$3:$A$1063,STUDIES!$G$3:$G$1063,"Not Found!")</f>
        <v>A</v>
      </c>
      <c r="G795" s="273" t="s">
        <v>147</v>
      </c>
      <c r="H795" s="273">
        <v>16</v>
      </c>
      <c r="I795" s="273">
        <v>225</v>
      </c>
      <c r="K795" s="268">
        <v>7.2</v>
      </c>
      <c r="M795" s="268">
        <v>1.6</v>
      </c>
      <c r="AJ795" s="276">
        <v>-62.8</v>
      </c>
      <c r="AM795" s="268">
        <v>-71.599999999999994</v>
      </c>
      <c r="AN795" s="268">
        <v>-54</v>
      </c>
      <c r="AO795" s="275">
        <v>0.95</v>
      </c>
    </row>
    <row r="796" spans="1:41" ht="18" customHeight="1" x14ac:dyDescent="0.35">
      <c r="A796" s="274">
        <f>MATCH(B796,STUDIES!$A$3:$A$502,0)</f>
        <v>57</v>
      </c>
      <c r="B796" s="272" t="s">
        <v>1191</v>
      </c>
      <c r="D796" s="281" t="s">
        <v>1099</v>
      </c>
      <c r="E796" s="272" t="s">
        <v>695</v>
      </c>
      <c r="F796" s="155" t="str">
        <f>_xlfn.XLOOKUP(B796,STUDIES!$A$3:$A$1063,STUDIES!$G$3:$G$1063,"Not Found!")</f>
        <v>A</v>
      </c>
      <c r="G796" s="273" t="s">
        <v>147</v>
      </c>
      <c r="H796" s="273">
        <v>16</v>
      </c>
      <c r="I796" s="273">
        <v>236</v>
      </c>
      <c r="K796" s="268">
        <v>7.3</v>
      </c>
      <c r="M796" s="268">
        <v>1.5</v>
      </c>
      <c r="AJ796" s="276">
        <v>-72</v>
      </c>
      <c r="AM796" s="268">
        <v>-80.7</v>
      </c>
      <c r="AN796" s="268">
        <v>-63.4</v>
      </c>
      <c r="AO796" s="275">
        <v>0.95</v>
      </c>
    </row>
    <row r="797" spans="1:41" ht="18" customHeight="1" x14ac:dyDescent="0.35">
      <c r="A797" s="274">
        <f>MATCH(B797,STUDIES!$A$3:$A$502,0)</f>
        <v>57</v>
      </c>
      <c r="B797" s="272" t="s">
        <v>1191</v>
      </c>
      <c r="D797" s="281" t="s">
        <v>148</v>
      </c>
      <c r="E797" s="272" t="s">
        <v>695</v>
      </c>
      <c r="F797" s="155" t="str">
        <f>_xlfn.XLOOKUP(B797,STUDIES!$A$3:$A$1063,STUDIES!$G$3:$G$1063,"Not Found!")</f>
        <v>A</v>
      </c>
      <c r="G797" s="273" t="s">
        <v>147</v>
      </c>
      <c r="H797" s="273">
        <v>16</v>
      </c>
      <c r="I797" s="273">
        <v>123</v>
      </c>
      <c r="K797" s="268">
        <v>7.3</v>
      </c>
      <c r="M797" s="268">
        <v>1.7</v>
      </c>
      <c r="AJ797" s="276">
        <v>-26.1</v>
      </c>
      <c r="AM797" s="268">
        <v>-36.700000000000003</v>
      </c>
      <c r="AN797" s="268">
        <v>-15.5</v>
      </c>
      <c r="AO797" s="275">
        <v>0.95</v>
      </c>
    </row>
    <row r="798" spans="1:41" ht="18" customHeight="1" x14ac:dyDescent="0.35">
      <c r="A798" s="274">
        <f>MATCH(B798,STUDIES!$A$3:$A$502,0)</f>
        <v>58</v>
      </c>
      <c r="B798" s="272" t="s">
        <v>1192</v>
      </c>
      <c r="D798" s="281" t="s">
        <v>148</v>
      </c>
      <c r="E798" s="272" t="s">
        <v>1163</v>
      </c>
      <c r="F798" s="155" t="str">
        <f>_xlfn.XLOOKUP(B798,STUDIES!$A$3:$A$1063,STUDIES!$G$3:$G$1063,"Not Found!")</f>
        <v>A</v>
      </c>
      <c r="G798" s="273" t="s">
        <v>147</v>
      </c>
      <c r="H798" s="273">
        <v>16</v>
      </c>
      <c r="I798" s="273">
        <v>278</v>
      </c>
      <c r="J798" s="274">
        <v>8</v>
      </c>
    </row>
    <row r="799" spans="1:41" ht="18" customHeight="1" x14ac:dyDescent="0.35">
      <c r="A799" s="274">
        <f>MATCH(B799,STUDIES!$A$3:$A$502,0)</f>
        <v>58</v>
      </c>
      <c r="B799" s="272" t="s">
        <v>1192</v>
      </c>
      <c r="D799" s="281" t="s">
        <v>148</v>
      </c>
      <c r="E799" s="272" t="s">
        <v>1167</v>
      </c>
      <c r="F799" s="155" t="str">
        <f>_xlfn.XLOOKUP(B799,STUDIES!$A$3:$A$1063,STUDIES!$G$3:$G$1063,"Not Found!")</f>
        <v>A</v>
      </c>
      <c r="G799" s="273" t="s">
        <v>147</v>
      </c>
      <c r="H799" s="273">
        <v>16</v>
      </c>
      <c r="I799" s="273">
        <v>278</v>
      </c>
      <c r="J799" s="274">
        <v>12</v>
      </c>
    </row>
    <row r="800" spans="1:41" ht="18" customHeight="1" x14ac:dyDescent="0.35">
      <c r="A800" s="274">
        <f>MATCH(B800,STUDIES!$A$3:$A$502,0)</f>
        <v>58</v>
      </c>
      <c r="B800" s="272" t="s">
        <v>1192</v>
      </c>
      <c r="D800" s="281" t="s">
        <v>1098</v>
      </c>
      <c r="E800" s="272" t="s">
        <v>1167</v>
      </c>
      <c r="F800" s="155" t="str">
        <f>_xlfn.XLOOKUP(B800,STUDIES!$A$3:$A$1063,STUDIES!$G$3:$G$1063,"Not Found!")</f>
        <v>A</v>
      </c>
      <c r="G800" s="273" t="s">
        <v>147</v>
      </c>
      <c r="H800" s="273">
        <v>16</v>
      </c>
      <c r="I800" s="273">
        <v>276</v>
      </c>
      <c r="J800" s="274">
        <v>11</v>
      </c>
    </row>
    <row r="801" spans="1:41" ht="18" customHeight="1" x14ac:dyDescent="0.35">
      <c r="A801" s="274">
        <f>MATCH(B801,STUDIES!$A$3:$A$502,0)</f>
        <v>58</v>
      </c>
      <c r="B801" s="272" t="s">
        <v>1192</v>
      </c>
      <c r="D801" s="281" t="s">
        <v>1099</v>
      </c>
      <c r="E801" s="272" t="s">
        <v>1167</v>
      </c>
      <c r="F801" s="155" t="str">
        <f>_xlfn.XLOOKUP(B801,STUDIES!$A$3:$A$1063,STUDIES!$G$3:$G$1063,"Not Found!")</f>
        <v>A</v>
      </c>
      <c r="G801" s="273" t="s">
        <v>147</v>
      </c>
      <c r="H801" s="273">
        <v>16</v>
      </c>
      <c r="I801" s="273">
        <v>282</v>
      </c>
      <c r="J801" s="274">
        <v>7</v>
      </c>
    </row>
    <row r="802" spans="1:41" ht="18" customHeight="1" x14ac:dyDescent="0.35">
      <c r="A802" s="274">
        <f>MATCH(B802,STUDIES!$A$3:$A$502,0)</f>
        <v>58</v>
      </c>
      <c r="B802" s="272" t="s">
        <v>1192</v>
      </c>
      <c r="D802" s="281" t="s">
        <v>1098</v>
      </c>
      <c r="E802" s="272" t="s">
        <v>1163</v>
      </c>
      <c r="F802" s="155" t="str">
        <f>_xlfn.XLOOKUP(B802,STUDIES!$A$3:$A$1063,STUDIES!$G$3:$G$1063,"Not Found!")</f>
        <v>A</v>
      </c>
      <c r="G802" s="273" t="s">
        <v>147</v>
      </c>
      <c r="H802" s="273">
        <v>16</v>
      </c>
      <c r="I802" s="273">
        <v>276</v>
      </c>
      <c r="J802" s="274">
        <v>5</v>
      </c>
    </row>
    <row r="803" spans="1:41" ht="18" customHeight="1" x14ac:dyDescent="0.35">
      <c r="A803" s="274">
        <f>MATCH(B803,STUDIES!$A$3:$A$502,0)</f>
        <v>58</v>
      </c>
      <c r="B803" s="272" t="s">
        <v>1192</v>
      </c>
      <c r="D803" s="281" t="s">
        <v>1099</v>
      </c>
      <c r="E803" s="272" t="s">
        <v>1163</v>
      </c>
      <c r="F803" s="155" t="str">
        <f>_xlfn.XLOOKUP(B803,STUDIES!$A$3:$A$1063,STUDIES!$G$3:$G$1063,"Not Found!")</f>
        <v>A</v>
      </c>
      <c r="G803" s="273" t="s">
        <v>147</v>
      </c>
      <c r="H803" s="273">
        <v>16</v>
      </c>
      <c r="I803" s="273">
        <v>282</v>
      </c>
      <c r="J803" s="274">
        <v>7</v>
      </c>
    </row>
    <row r="804" spans="1:41" ht="18" customHeight="1" x14ac:dyDescent="0.35">
      <c r="A804" s="274">
        <f>MATCH(B804,STUDIES!$A$3:$A$502,0)</f>
        <v>58</v>
      </c>
      <c r="B804" s="272" t="s">
        <v>1192</v>
      </c>
      <c r="D804" s="281" t="s">
        <v>1098</v>
      </c>
      <c r="E804" s="272" t="s">
        <v>151</v>
      </c>
      <c r="F804" s="155" t="str">
        <f>_xlfn.XLOOKUP(B804,STUDIES!$A$3:$A$1063,STUDIES!$G$3:$G$1063,"Not Found!")</f>
        <v>A</v>
      </c>
      <c r="G804" s="273" t="s">
        <v>147</v>
      </c>
      <c r="H804" s="273">
        <v>16</v>
      </c>
      <c r="I804" s="273">
        <v>246</v>
      </c>
      <c r="K804" s="268">
        <v>28.6</v>
      </c>
      <c r="M804" s="268">
        <v>11.7</v>
      </c>
      <c r="AJ804" s="276">
        <v>-74.099999999999994</v>
      </c>
      <c r="AM804" s="268">
        <v>-78.400000000000006</v>
      </c>
      <c r="AN804" s="268">
        <v>-69.8</v>
      </c>
      <c r="AO804" s="275">
        <v>0.95</v>
      </c>
    </row>
    <row r="805" spans="1:41" ht="18" customHeight="1" x14ac:dyDescent="0.35">
      <c r="A805" s="274">
        <f>MATCH(B805,STUDIES!$A$3:$A$502,0)</f>
        <v>58</v>
      </c>
      <c r="B805" s="272" t="s">
        <v>1192</v>
      </c>
      <c r="D805" s="281" t="s">
        <v>1099</v>
      </c>
      <c r="E805" s="272" t="s">
        <v>151</v>
      </c>
      <c r="F805" s="155" t="str">
        <f>_xlfn.XLOOKUP(B805,STUDIES!$A$3:$A$1063,STUDIES!$G$3:$G$1063,"Not Found!")</f>
        <v>A</v>
      </c>
      <c r="G805" s="273" t="s">
        <v>147</v>
      </c>
      <c r="H805" s="273">
        <v>16</v>
      </c>
      <c r="I805" s="273">
        <v>250</v>
      </c>
      <c r="K805" s="268">
        <v>29.7</v>
      </c>
      <c r="M805" s="268">
        <v>12.2</v>
      </c>
      <c r="AJ805" s="276">
        <v>-84.7</v>
      </c>
      <c r="AM805" s="268">
        <v>-88.9</v>
      </c>
      <c r="AN805" s="268">
        <v>-80.400000000000006</v>
      </c>
      <c r="AO805" s="275">
        <v>0.95</v>
      </c>
    </row>
    <row r="806" spans="1:41" ht="18" customHeight="1" x14ac:dyDescent="0.35">
      <c r="A806" s="274">
        <f>MATCH(B806,STUDIES!$A$3:$A$502,0)</f>
        <v>58</v>
      </c>
      <c r="B806" s="272" t="s">
        <v>1192</v>
      </c>
      <c r="D806" s="281" t="s">
        <v>148</v>
      </c>
      <c r="E806" s="272" t="s">
        <v>151</v>
      </c>
      <c r="F806" s="155" t="str">
        <f>_xlfn.XLOOKUP(B806,STUDIES!$A$3:$A$1063,STUDIES!$G$3:$G$1063,"Not Found!")</f>
        <v>A</v>
      </c>
      <c r="G806" s="273" t="s">
        <v>147</v>
      </c>
      <c r="H806" s="273">
        <v>16</v>
      </c>
      <c r="I806" s="273">
        <v>142</v>
      </c>
      <c r="K806" s="268">
        <v>29.1</v>
      </c>
      <c r="M806" s="268">
        <v>12.1</v>
      </c>
      <c r="AJ806" s="276">
        <v>-34.5</v>
      </c>
      <c r="AM806" s="268">
        <v>-39.6</v>
      </c>
      <c r="AN806" s="268">
        <v>-29.4</v>
      </c>
      <c r="AO806" s="275">
        <v>0.95</v>
      </c>
    </row>
    <row r="807" spans="1:41" ht="18" customHeight="1" x14ac:dyDescent="0.35">
      <c r="A807" s="274">
        <f>MATCH(B807,STUDIES!$A$3:$A$502,0)</f>
        <v>58</v>
      </c>
      <c r="B807" s="272" t="s">
        <v>1192</v>
      </c>
      <c r="D807" s="281" t="s">
        <v>1098</v>
      </c>
      <c r="E807" s="272" t="s">
        <v>695</v>
      </c>
      <c r="F807" s="155" t="str">
        <f>_xlfn.XLOOKUP(B807,STUDIES!$A$3:$A$1063,STUDIES!$G$3:$G$1063,"Not Found!")</f>
        <v>A</v>
      </c>
      <c r="G807" s="273" t="s">
        <v>147</v>
      </c>
      <c r="H807" s="273">
        <v>16</v>
      </c>
      <c r="I807" s="273">
        <v>224</v>
      </c>
      <c r="K807" s="268">
        <v>7.2</v>
      </c>
      <c r="M807" s="268">
        <v>1.6</v>
      </c>
      <c r="AJ807" s="276">
        <v>-51.2</v>
      </c>
      <c r="AM807" s="268">
        <v>-55.8</v>
      </c>
      <c r="AN807" s="268">
        <v>-46.6</v>
      </c>
      <c r="AO807" s="275">
        <v>0.95</v>
      </c>
    </row>
    <row r="808" spans="1:41" ht="18" customHeight="1" x14ac:dyDescent="0.35">
      <c r="A808" s="274">
        <f>MATCH(B808,STUDIES!$A$3:$A$502,0)</f>
        <v>58</v>
      </c>
      <c r="B808" s="272" t="s">
        <v>1192</v>
      </c>
      <c r="D808" s="281" t="s">
        <v>1099</v>
      </c>
      <c r="E808" s="272" t="s">
        <v>695</v>
      </c>
      <c r="F808" s="155" t="str">
        <f>_xlfn.XLOOKUP(B808,STUDIES!$A$3:$A$1063,STUDIES!$G$3:$G$1063,"Not Found!")</f>
        <v>A</v>
      </c>
      <c r="G808" s="273" t="s">
        <v>147</v>
      </c>
      <c r="H808" s="273">
        <v>16</v>
      </c>
      <c r="I808" s="273">
        <v>235</v>
      </c>
      <c r="K808" s="268">
        <v>7.3</v>
      </c>
      <c r="M808" s="268">
        <v>1.6</v>
      </c>
      <c r="AJ808" s="276">
        <v>-66.5</v>
      </c>
      <c r="AM808" s="268">
        <v>-71</v>
      </c>
      <c r="AN808" s="268">
        <v>-62</v>
      </c>
      <c r="AO808" s="275">
        <v>0.95</v>
      </c>
    </row>
    <row r="809" spans="1:41" ht="18" customHeight="1" x14ac:dyDescent="0.35">
      <c r="A809" s="274">
        <f>MATCH(B809,STUDIES!$A$3:$A$502,0)</f>
        <v>58</v>
      </c>
      <c r="B809" s="272" t="s">
        <v>1192</v>
      </c>
      <c r="D809" s="281" t="s">
        <v>148</v>
      </c>
      <c r="E809" s="272" t="s">
        <v>695</v>
      </c>
      <c r="F809" s="155" t="str">
        <f>_xlfn.XLOOKUP(B809,STUDIES!$A$3:$A$1063,STUDIES!$G$3:$G$1063,"Not Found!")</f>
        <v>A</v>
      </c>
      <c r="G809" s="273" t="s">
        <v>147</v>
      </c>
      <c r="H809" s="273">
        <v>16</v>
      </c>
      <c r="I809" s="273">
        <v>119</v>
      </c>
      <c r="K809" s="268">
        <v>7.3</v>
      </c>
      <c r="M809" s="268">
        <v>1.6</v>
      </c>
      <c r="AJ809" s="276">
        <v>-17</v>
      </c>
      <c r="AM809" s="268">
        <v>-22.4</v>
      </c>
      <c r="AN809" s="268">
        <v>-11.7</v>
      </c>
      <c r="AO809" s="275">
        <v>0.95</v>
      </c>
    </row>
    <row r="810" spans="1:41" ht="18" customHeight="1" x14ac:dyDescent="0.35">
      <c r="A810" s="274">
        <f>MATCH(B810,STUDIES!$A$3:$A$502,0)</f>
        <v>59</v>
      </c>
      <c r="B810" s="272" t="s">
        <v>1203</v>
      </c>
      <c r="D810" s="281" t="s">
        <v>148</v>
      </c>
      <c r="E810" s="272" t="s">
        <v>1163</v>
      </c>
      <c r="F810" s="155" t="str">
        <f>_xlfn.XLOOKUP(B810,STUDIES!$A$3:$A$1063,STUDIES!$G$3:$G$1063,"Not Found!")</f>
        <v>A</v>
      </c>
      <c r="G810" s="273" t="s">
        <v>147</v>
      </c>
      <c r="H810" s="273">
        <v>16</v>
      </c>
      <c r="I810" s="273">
        <v>303</v>
      </c>
      <c r="J810" s="274">
        <v>9</v>
      </c>
    </row>
    <row r="811" spans="1:41" ht="18" customHeight="1" x14ac:dyDescent="0.35">
      <c r="A811" s="274">
        <f>MATCH(B811,STUDIES!$A$3:$A$502,0)</f>
        <v>59</v>
      </c>
      <c r="B811" s="272" t="s">
        <v>1203</v>
      </c>
      <c r="D811" s="281" t="s">
        <v>148</v>
      </c>
      <c r="E811" s="272" t="s">
        <v>1167</v>
      </c>
      <c r="F811" s="155" t="str">
        <f>_xlfn.XLOOKUP(B811,STUDIES!$A$3:$A$1063,STUDIES!$G$3:$G$1063,"Not Found!")</f>
        <v>A</v>
      </c>
      <c r="G811" s="273" t="s">
        <v>147</v>
      </c>
      <c r="H811" s="273">
        <v>16</v>
      </c>
      <c r="I811" s="273">
        <v>303</v>
      </c>
      <c r="J811" s="274">
        <v>7</v>
      </c>
    </row>
    <row r="812" spans="1:41" ht="18" customHeight="1" x14ac:dyDescent="0.35">
      <c r="A812" s="274">
        <f>MATCH(B812,STUDIES!$A$3:$A$502,0)</f>
        <v>59</v>
      </c>
      <c r="B812" s="272" t="s">
        <v>1203</v>
      </c>
      <c r="D812" s="281" t="s">
        <v>1098</v>
      </c>
      <c r="E812" s="272" t="s">
        <v>1167</v>
      </c>
      <c r="F812" s="155" t="str">
        <f>_xlfn.XLOOKUP(B812,STUDIES!$A$3:$A$1063,STUDIES!$G$3:$G$1063,"Not Found!")</f>
        <v>A</v>
      </c>
      <c r="G812" s="273" t="s">
        <v>147</v>
      </c>
      <c r="H812" s="273">
        <v>16</v>
      </c>
      <c r="I812" s="273">
        <v>300</v>
      </c>
      <c r="J812" s="274">
        <v>4</v>
      </c>
    </row>
    <row r="813" spans="1:41" ht="18" customHeight="1" x14ac:dyDescent="0.35">
      <c r="A813" s="274">
        <f>MATCH(B813,STUDIES!$A$3:$A$502,0)</f>
        <v>59</v>
      </c>
      <c r="B813" s="272" t="s">
        <v>1203</v>
      </c>
      <c r="D813" s="281" t="s">
        <v>1099</v>
      </c>
      <c r="E813" s="272" t="s">
        <v>1167</v>
      </c>
      <c r="F813" s="155" t="str">
        <f>_xlfn.XLOOKUP(B813,STUDIES!$A$3:$A$1063,STUDIES!$G$3:$G$1063,"Not Found!")</f>
        <v>A</v>
      </c>
      <c r="G813" s="273" t="s">
        <v>147</v>
      </c>
      <c r="H813" s="273">
        <v>16</v>
      </c>
      <c r="I813" s="273">
        <v>297</v>
      </c>
      <c r="J813" s="274">
        <v>4</v>
      </c>
    </row>
    <row r="814" spans="1:41" ht="18" customHeight="1" x14ac:dyDescent="0.35">
      <c r="A814" s="274">
        <f>MATCH(B814,STUDIES!$A$3:$A$502,0)</f>
        <v>59</v>
      </c>
      <c r="B814" s="272" t="s">
        <v>1203</v>
      </c>
      <c r="D814" s="281" t="s">
        <v>1098</v>
      </c>
      <c r="E814" s="272" t="s">
        <v>1163</v>
      </c>
      <c r="F814" s="155" t="str">
        <f>_xlfn.XLOOKUP(B814,STUDIES!$A$3:$A$1063,STUDIES!$G$3:$G$1063,"Not Found!")</f>
        <v>A</v>
      </c>
      <c r="G814" s="273" t="s">
        <v>147</v>
      </c>
      <c r="H814" s="273">
        <v>16</v>
      </c>
      <c r="I814" s="273">
        <v>300</v>
      </c>
      <c r="J814" s="274">
        <v>7</v>
      </c>
    </row>
    <row r="815" spans="1:41" ht="18" customHeight="1" x14ac:dyDescent="0.35">
      <c r="A815" s="274">
        <f>MATCH(B815,STUDIES!$A$3:$A$502,0)</f>
        <v>59</v>
      </c>
      <c r="B815" s="272" t="s">
        <v>1203</v>
      </c>
      <c r="D815" s="281" t="s">
        <v>1099</v>
      </c>
      <c r="E815" s="272" t="s">
        <v>1163</v>
      </c>
      <c r="F815" s="155" t="str">
        <f>_xlfn.XLOOKUP(B815,STUDIES!$A$3:$A$1063,STUDIES!$G$3:$G$1063,"Not Found!")</f>
        <v>A</v>
      </c>
      <c r="G815" s="273" t="s">
        <v>147</v>
      </c>
      <c r="H815" s="273">
        <v>16</v>
      </c>
      <c r="I815" s="273">
        <v>297</v>
      </c>
      <c r="J815" s="274">
        <v>4</v>
      </c>
    </row>
    <row r="816" spans="1:41" ht="18" customHeight="1" x14ac:dyDescent="0.35">
      <c r="A816" s="274">
        <f>MATCH(B816,STUDIES!$A$3:$A$502,0)</f>
        <v>59</v>
      </c>
      <c r="B816" s="272" t="s">
        <v>1203</v>
      </c>
      <c r="D816" s="281" t="s">
        <v>1098</v>
      </c>
      <c r="E816" s="272" t="s">
        <v>151</v>
      </c>
      <c r="F816" s="155" t="str">
        <f>_xlfn.XLOOKUP(B816,STUDIES!$A$3:$A$1063,STUDIES!$G$3:$G$1063,"Not Found!")</f>
        <v>A</v>
      </c>
      <c r="G816" s="273" t="s">
        <v>147</v>
      </c>
      <c r="H816" s="273">
        <v>16</v>
      </c>
      <c r="I816" s="273">
        <v>275</v>
      </c>
      <c r="K816" s="268">
        <v>29.2</v>
      </c>
      <c r="M816" s="268">
        <v>11.8</v>
      </c>
      <c r="AJ816" s="276">
        <v>-78</v>
      </c>
      <c r="AM816" s="268">
        <v>-74.099999999999994</v>
      </c>
      <c r="AN816" s="268">
        <v>-81.900000000000006</v>
      </c>
      <c r="AO816" s="275">
        <v>0.95</v>
      </c>
    </row>
    <row r="817" spans="1:41" ht="18" customHeight="1" x14ac:dyDescent="0.35">
      <c r="A817" s="274">
        <f>MATCH(B817,STUDIES!$A$3:$A$502,0)</f>
        <v>59</v>
      </c>
      <c r="B817" s="272" t="s">
        <v>1203</v>
      </c>
      <c r="D817" s="281" t="s">
        <v>1099</v>
      </c>
      <c r="E817" s="272" t="s">
        <v>151</v>
      </c>
      <c r="F817" s="155" t="str">
        <f>_xlfn.XLOOKUP(B817,STUDIES!$A$3:$A$1063,STUDIES!$G$3:$G$1063,"Not Found!")</f>
        <v>A</v>
      </c>
      <c r="G817" s="273" t="s">
        <v>147</v>
      </c>
      <c r="H817" s="273">
        <v>16</v>
      </c>
      <c r="I817" s="273">
        <v>276</v>
      </c>
      <c r="K817" s="268">
        <v>29.7</v>
      </c>
      <c r="M817" s="268">
        <v>11.8</v>
      </c>
      <c r="AJ817" s="276">
        <v>-87.3</v>
      </c>
      <c r="AM817" s="268">
        <v>-83.4</v>
      </c>
      <c r="AN817" s="268">
        <v>-91.2</v>
      </c>
      <c r="AO817" s="275">
        <v>0.95</v>
      </c>
    </row>
    <row r="818" spans="1:41" ht="18" customHeight="1" x14ac:dyDescent="0.35">
      <c r="A818" s="274">
        <f>MATCH(B818,STUDIES!$A$3:$A$502,0)</f>
        <v>59</v>
      </c>
      <c r="B818" s="272" t="s">
        <v>1203</v>
      </c>
      <c r="D818" s="281" t="s">
        <v>148</v>
      </c>
      <c r="E818" s="272" t="s">
        <v>151</v>
      </c>
      <c r="F818" s="155" t="str">
        <f>_xlfn.XLOOKUP(B818,STUDIES!$A$3:$A$1063,STUDIES!$G$3:$G$1063,"Not Found!")</f>
        <v>A</v>
      </c>
      <c r="G818" s="273" t="s">
        <v>147</v>
      </c>
      <c r="H818" s="273">
        <v>16</v>
      </c>
      <c r="I818" s="273">
        <v>206</v>
      </c>
      <c r="K818" s="268">
        <v>30.3</v>
      </c>
      <c r="M818" s="268">
        <v>13</v>
      </c>
      <c r="AJ818" s="276">
        <v>-45.9</v>
      </c>
      <c r="AM818" s="268">
        <v>-41.6</v>
      </c>
      <c r="AN818" s="268">
        <v>-50.1</v>
      </c>
      <c r="AO818" s="275">
        <v>0.95</v>
      </c>
    </row>
    <row r="819" spans="1:41" ht="18" customHeight="1" x14ac:dyDescent="0.35">
      <c r="A819" s="274">
        <f>MATCH(B819,STUDIES!$A$3:$A$502,0)</f>
        <v>59</v>
      </c>
      <c r="B819" s="272" t="s">
        <v>1203</v>
      </c>
      <c r="D819" s="281" t="s">
        <v>1098</v>
      </c>
      <c r="E819" s="272" t="s">
        <v>695</v>
      </c>
      <c r="F819" s="155" t="str">
        <f>_xlfn.XLOOKUP(B819,STUDIES!$A$3:$A$1063,STUDIES!$G$3:$G$1063,"Not Found!")</f>
        <v>A</v>
      </c>
      <c r="G819" s="273" t="s">
        <v>147</v>
      </c>
      <c r="H819" s="273">
        <v>16</v>
      </c>
      <c r="I819" s="273">
        <v>260</v>
      </c>
      <c r="K819" s="268">
        <v>7.1</v>
      </c>
      <c r="M819" s="268">
        <v>1.8</v>
      </c>
      <c r="AJ819" s="276">
        <v>-58.1</v>
      </c>
      <c r="AM819" s="268">
        <v>-52.1</v>
      </c>
      <c r="AN819" s="268">
        <v>-64.2</v>
      </c>
      <c r="AO819" s="275">
        <v>0.95</v>
      </c>
    </row>
    <row r="820" spans="1:41" ht="18" customHeight="1" x14ac:dyDescent="0.35">
      <c r="A820" s="274">
        <f>MATCH(B820,STUDIES!$A$3:$A$502,0)</f>
        <v>59</v>
      </c>
      <c r="B820" s="272" t="s">
        <v>1203</v>
      </c>
      <c r="D820" s="281" t="s">
        <v>1099</v>
      </c>
      <c r="E820" s="272" t="s">
        <v>695</v>
      </c>
      <c r="F820" s="155" t="str">
        <f>_xlfn.XLOOKUP(B820,STUDIES!$A$3:$A$1063,STUDIES!$G$3:$G$1063,"Not Found!")</f>
        <v>A</v>
      </c>
      <c r="G820" s="273" t="s">
        <v>147</v>
      </c>
      <c r="H820" s="273">
        <v>16</v>
      </c>
      <c r="I820" s="273">
        <v>247</v>
      </c>
      <c r="K820" s="268">
        <v>7.4</v>
      </c>
      <c r="M820" s="268">
        <v>1.6</v>
      </c>
      <c r="AJ820" s="276">
        <v>-66.900000000000006</v>
      </c>
      <c r="AM820" s="268">
        <v>-60.7</v>
      </c>
      <c r="AN820" s="268">
        <v>-73</v>
      </c>
      <c r="AO820" s="275">
        <v>0.95</v>
      </c>
    </row>
    <row r="821" spans="1:41" ht="18" customHeight="1" x14ac:dyDescent="0.35">
      <c r="A821" s="274">
        <f>MATCH(B821,STUDIES!$A$3:$A$502,0)</f>
        <v>59</v>
      </c>
      <c r="B821" s="272" t="s">
        <v>1203</v>
      </c>
      <c r="D821" s="281" t="s">
        <v>148</v>
      </c>
      <c r="E821" s="272" t="s">
        <v>695</v>
      </c>
      <c r="F821" s="155" t="str">
        <f>_xlfn.XLOOKUP(B821,STUDIES!$A$3:$A$1063,STUDIES!$G$3:$G$1063,"Not Found!")</f>
        <v>A</v>
      </c>
      <c r="G821" s="273" t="s">
        <v>147</v>
      </c>
      <c r="H821" s="273">
        <v>16</v>
      </c>
      <c r="I821" s="273">
        <v>184</v>
      </c>
      <c r="K821" s="268">
        <v>7.1</v>
      </c>
      <c r="M821" s="268">
        <v>1.6</v>
      </c>
      <c r="AJ821" s="276">
        <v>-25.1</v>
      </c>
      <c r="AM821" s="268">
        <v>-18.5</v>
      </c>
      <c r="AN821" s="268">
        <v>-31.6</v>
      </c>
      <c r="AO821" s="275">
        <v>0.95</v>
      </c>
    </row>
    <row r="822" spans="1:41" ht="18" customHeight="1" x14ac:dyDescent="0.35">
      <c r="A822" s="274">
        <f>MATCH(B822,STUDIES!$A$3:$A$502,0)</f>
        <v>60</v>
      </c>
      <c r="B822" s="272" t="s">
        <v>1211</v>
      </c>
      <c r="D822" s="281" t="s">
        <v>148</v>
      </c>
      <c r="E822" s="272" t="s">
        <v>1163</v>
      </c>
      <c r="F822" s="155" t="str">
        <f>_xlfn.XLOOKUP(B822,STUDIES!$A$3:$A$1063,STUDIES!$G$3:$G$1063,"Not Found!")</f>
        <v>A</v>
      </c>
      <c r="G822" s="273" t="s">
        <v>147</v>
      </c>
      <c r="H822" s="273">
        <v>16</v>
      </c>
      <c r="I822" s="273">
        <v>107</v>
      </c>
      <c r="J822" s="274">
        <v>1</v>
      </c>
    </row>
    <row r="823" spans="1:41" ht="18" customHeight="1" x14ac:dyDescent="0.35">
      <c r="A823" s="274">
        <f>MATCH(B823,STUDIES!$A$3:$A$502,0)</f>
        <v>60</v>
      </c>
      <c r="B823" s="272" t="s">
        <v>1211</v>
      </c>
      <c r="D823" s="281" t="s">
        <v>148</v>
      </c>
      <c r="E823" s="272" t="s">
        <v>1167</v>
      </c>
      <c r="F823" s="155" t="str">
        <f>_xlfn.XLOOKUP(B823,STUDIES!$A$3:$A$1063,STUDIES!$G$3:$G$1063,"Not Found!")</f>
        <v>A</v>
      </c>
      <c r="G823" s="273" t="s">
        <v>147</v>
      </c>
      <c r="H823" s="273">
        <v>16</v>
      </c>
      <c r="I823" s="273">
        <v>107</v>
      </c>
      <c r="J823" s="274">
        <v>3</v>
      </c>
      <c r="K823" s="276"/>
    </row>
    <row r="824" spans="1:41" ht="18" customHeight="1" x14ac:dyDescent="0.35">
      <c r="A824" s="274">
        <f>MATCH(B824,STUDIES!$A$3:$A$502,0)</f>
        <v>60</v>
      </c>
      <c r="B824" s="272" t="s">
        <v>1211</v>
      </c>
      <c r="D824" s="281" t="s">
        <v>1096</v>
      </c>
      <c r="E824" s="272" t="s">
        <v>1167</v>
      </c>
      <c r="F824" s="155" t="str">
        <f>_xlfn.XLOOKUP(B824,STUDIES!$A$3:$A$1063,STUDIES!$G$3:$G$1063,"Not Found!")</f>
        <v>A</v>
      </c>
      <c r="G824" s="273" t="s">
        <v>147</v>
      </c>
      <c r="H824" s="273">
        <v>16</v>
      </c>
      <c r="I824" s="273">
        <v>107</v>
      </c>
      <c r="J824" s="274">
        <v>2</v>
      </c>
    </row>
    <row r="825" spans="1:41" ht="18" customHeight="1" x14ac:dyDescent="0.35">
      <c r="A825" s="274">
        <f>MATCH(B825,STUDIES!$A$3:$A$502,0)</f>
        <v>60</v>
      </c>
      <c r="B825" s="272" t="s">
        <v>1211</v>
      </c>
      <c r="D825" s="281" t="s">
        <v>1096</v>
      </c>
      <c r="E825" s="272" t="s">
        <v>1163</v>
      </c>
      <c r="F825" s="155" t="str">
        <f>_xlfn.XLOOKUP(B825,STUDIES!$A$3:$A$1063,STUDIES!$G$3:$G$1063,"Not Found!")</f>
        <v>A</v>
      </c>
      <c r="G825" s="273" t="s">
        <v>147</v>
      </c>
      <c r="H825" s="273">
        <v>16</v>
      </c>
      <c r="I825" s="273">
        <v>107</v>
      </c>
      <c r="J825" s="274">
        <v>2</v>
      </c>
    </row>
    <row r="826" spans="1:41" ht="18" customHeight="1" x14ac:dyDescent="0.35">
      <c r="A826" s="274">
        <f>MATCH(B826,STUDIES!$A$3:$A$502,0)</f>
        <v>61</v>
      </c>
      <c r="B826" s="272" t="s">
        <v>1240</v>
      </c>
      <c r="D826" s="281" t="s">
        <v>1056</v>
      </c>
      <c r="E826" s="272" t="s">
        <v>1243</v>
      </c>
      <c r="F826" s="155" t="str">
        <f>_xlfn.XLOOKUP(B826,STUDIES!$A$3:$A$1063,STUDIES!$G$3:$G$1063,"Not Found!")</f>
        <v>A</v>
      </c>
      <c r="G826" s="273" t="s">
        <v>147</v>
      </c>
      <c r="H826" s="273">
        <v>16</v>
      </c>
      <c r="I826" s="442">
        <v>331</v>
      </c>
      <c r="J826" s="443">
        <v>207</v>
      </c>
      <c r="AC826" s="275"/>
      <c r="AD826" s="283"/>
    </row>
    <row r="827" spans="1:41" ht="18" customHeight="1" x14ac:dyDescent="0.35">
      <c r="A827" s="274">
        <f>MATCH(B827,STUDIES!$A$3:$A$502,0)</f>
        <v>61</v>
      </c>
      <c r="B827" s="272" t="s">
        <v>1240</v>
      </c>
      <c r="D827" s="281" t="s">
        <v>1099</v>
      </c>
      <c r="E827" s="272" t="s">
        <v>1243</v>
      </c>
      <c r="F827" s="155" t="str">
        <f>_xlfn.XLOOKUP(B827,STUDIES!$A$3:$A$1063,STUDIES!$G$3:$G$1063,"Not Found!")</f>
        <v>A</v>
      </c>
      <c r="G827" s="273" t="s">
        <v>147</v>
      </c>
      <c r="H827" s="273">
        <v>16</v>
      </c>
      <c r="I827" s="442">
        <v>342</v>
      </c>
      <c r="J827" s="443">
        <v>248</v>
      </c>
    </row>
    <row r="828" spans="1:41" ht="18" customHeight="1" x14ac:dyDescent="0.35">
      <c r="A828" s="274">
        <f>MATCH(B828,STUDIES!$A$3:$A$502,0)</f>
        <v>61</v>
      </c>
      <c r="B828" s="272" t="s">
        <v>1240</v>
      </c>
      <c r="D828" s="281" t="s">
        <v>1056</v>
      </c>
      <c r="E828" s="272" t="s">
        <v>1244</v>
      </c>
      <c r="F828" s="155" t="str">
        <f>_xlfn.XLOOKUP(B828,STUDIES!$A$3:$A$1063,STUDIES!$G$3:$G$1063,"Not Found!")</f>
        <v>A</v>
      </c>
      <c r="G828" s="273" t="s">
        <v>147</v>
      </c>
      <c r="H828" s="273">
        <v>16</v>
      </c>
      <c r="I828" s="442">
        <v>331</v>
      </c>
      <c r="J828" s="443">
        <v>133</v>
      </c>
      <c r="AC828" s="275"/>
      <c r="AD828" s="283"/>
    </row>
    <row r="829" spans="1:41" ht="18" customHeight="1" x14ac:dyDescent="0.35">
      <c r="A829" s="274">
        <f>MATCH(B829,STUDIES!$A$3:$A$502,0)</f>
        <v>61</v>
      </c>
      <c r="B829" s="272" t="s">
        <v>1240</v>
      </c>
      <c r="D829" s="281" t="s">
        <v>1099</v>
      </c>
      <c r="E829" s="272" t="s">
        <v>1244</v>
      </c>
      <c r="F829" s="155" t="str">
        <f>_xlfn.XLOOKUP(B829,STUDIES!$A$3:$A$1063,STUDIES!$G$3:$G$1063,"Not Found!")</f>
        <v>A</v>
      </c>
      <c r="G829" s="273" t="s">
        <v>147</v>
      </c>
      <c r="H829" s="273">
        <v>16</v>
      </c>
      <c r="I829" s="442">
        <v>342</v>
      </c>
      <c r="J829" s="443">
        <v>211</v>
      </c>
    </row>
    <row r="830" spans="1:41" ht="18" customHeight="1" x14ac:dyDescent="0.35">
      <c r="A830" s="274">
        <f>MATCH(B830,STUDIES!$A$3:$A$502,0)</f>
        <v>61</v>
      </c>
      <c r="B830" s="272" t="s">
        <v>1240</v>
      </c>
      <c r="D830" s="281" t="s">
        <v>1056</v>
      </c>
      <c r="E830" s="272" t="s">
        <v>695</v>
      </c>
      <c r="F830" s="155" t="str">
        <f>_xlfn.XLOOKUP(B830,STUDIES!$A$3:$A$1063,STUDIES!$G$3:$G$1063,"Not Found!")</f>
        <v>A</v>
      </c>
      <c r="G830" s="273" t="s">
        <v>147</v>
      </c>
      <c r="H830" s="273">
        <v>16</v>
      </c>
      <c r="I830" s="442">
        <v>331</v>
      </c>
      <c r="J830" s="443"/>
      <c r="K830" s="323">
        <v>7.5</v>
      </c>
      <c r="L830" s="323"/>
      <c r="M830" s="323">
        <v>1.7</v>
      </c>
      <c r="N830" s="323"/>
      <c r="O830" s="323"/>
      <c r="P830" s="323"/>
      <c r="Q830" s="445"/>
      <c r="R830" s="446"/>
      <c r="S830" s="323"/>
      <c r="T830" s="323"/>
      <c r="U830" s="323"/>
      <c r="V830" s="323"/>
      <c r="W830" s="447"/>
      <c r="X830" s="448"/>
      <c r="Y830" s="323"/>
      <c r="Z830" s="323"/>
      <c r="AA830" s="323"/>
      <c r="AB830" s="323"/>
      <c r="AC830" s="323"/>
      <c r="AD830" s="446"/>
      <c r="AE830" s="323"/>
      <c r="AF830" s="323"/>
      <c r="AG830" s="323"/>
      <c r="AH830" s="323"/>
      <c r="AI830" s="323"/>
      <c r="AJ830" s="446">
        <v>-49.6</v>
      </c>
      <c r="AK830" s="323"/>
      <c r="AL830" s="323"/>
      <c r="AM830" s="323">
        <v>-53.5</v>
      </c>
      <c r="AN830" s="323">
        <v>-45.7</v>
      </c>
      <c r="AO830" s="447">
        <v>0.95</v>
      </c>
    </row>
    <row r="831" spans="1:41" ht="18" customHeight="1" x14ac:dyDescent="0.35">
      <c r="A831" s="274">
        <f>MATCH(B831,STUDIES!$A$3:$A$502,0)</f>
        <v>61</v>
      </c>
      <c r="B831" s="272" t="s">
        <v>1240</v>
      </c>
      <c r="D831" s="281" t="s">
        <v>1099</v>
      </c>
      <c r="E831" s="272" t="s">
        <v>695</v>
      </c>
      <c r="F831" s="155" t="str">
        <f>_xlfn.XLOOKUP(B831,STUDIES!$A$3:$A$1063,STUDIES!$G$3:$G$1063,"Not Found!")</f>
        <v>A</v>
      </c>
      <c r="G831" s="273" t="s">
        <v>147</v>
      </c>
      <c r="H831" s="273">
        <v>16</v>
      </c>
      <c r="I831" s="442">
        <v>342</v>
      </c>
      <c r="J831" s="443"/>
      <c r="K831" s="323">
        <v>7.4</v>
      </c>
      <c r="L831" s="323"/>
      <c r="M831" s="323">
        <v>1.6</v>
      </c>
      <c r="N831" s="323"/>
      <c r="O831" s="323"/>
      <c r="P831" s="323"/>
      <c r="Q831" s="445"/>
      <c r="R831" s="446"/>
      <c r="S831" s="323"/>
      <c r="T831" s="323"/>
      <c r="U831" s="323"/>
      <c r="V831" s="323"/>
      <c r="W831" s="447"/>
      <c r="X831" s="448"/>
      <c r="Y831" s="323"/>
      <c r="Z831" s="323"/>
      <c r="AA831" s="323"/>
      <c r="AB831" s="323"/>
      <c r="AC831" s="323"/>
      <c r="AD831" s="448"/>
      <c r="AE831" s="323"/>
      <c r="AF831" s="323"/>
      <c r="AG831" s="323"/>
      <c r="AH831" s="323"/>
      <c r="AI831" s="323"/>
      <c r="AJ831" s="446">
        <v>-67.8</v>
      </c>
      <c r="AK831" s="323"/>
      <c r="AL831" s="323"/>
      <c r="AM831" s="323">
        <v>-71.5</v>
      </c>
      <c r="AN831" s="323">
        <v>-64</v>
      </c>
      <c r="AO831" s="447">
        <v>0.95</v>
      </c>
    </row>
    <row r="832" spans="1:41" ht="18" customHeight="1" x14ac:dyDescent="0.35">
      <c r="A832" s="274">
        <f>MATCH(B832,STUDIES!$A$3:$A$502,0)</f>
        <v>61</v>
      </c>
      <c r="B832" s="272" t="s">
        <v>1240</v>
      </c>
      <c r="D832" s="281" t="s">
        <v>1056</v>
      </c>
      <c r="E832" s="272" t="s">
        <v>1163</v>
      </c>
      <c r="F832" s="155" t="str">
        <f>_xlfn.XLOOKUP(B832,STUDIES!$A$3:$A$1063,STUDIES!$G$3:$G$1063,"Not Found!")</f>
        <v>A</v>
      </c>
      <c r="G832" s="273" t="s">
        <v>147</v>
      </c>
      <c r="H832" s="273">
        <v>16</v>
      </c>
      <c r="I832" s="442">
        <v>331</v>
      </c>
      <c r="J832" s="443">
        <v>4</v>
      </c>
    </row>
    <row r="833" spans="1:19" ht="18" customHeight="1" x14ac:dyDescent="0.35">
      <c r="A833" s="274">
        <f>MATCH(B833,STUDIES!$A$3:$A$502,0)</f>
        <v>61</v>
      </c>
      <c r="B833" s="272" t="s">
        <v>1240</v>
      </c>
      <c r="D833" s="281" t="s">
        <v>1099</v>
      </c>
      <c r="E833" s="272" t="s">
        <v>1163</v>
      </c>
      <c r="F833" s="155" t="str">
        <f>_xlfn.XLOOKUP(B833,STUDIES!$A$3:$A$1063,STUDIES!$G$3:$G$1063,"Not Found!")</f>
        <v>A</v>
      </c>
      <c r="G833" s="273" t="s">
        <v>147</v>
      </c>
      <c r="H833" s="273">
        <v>16</v>
      </c>
      <c r="I833" s="442">
        <v>342</v>
      </c>
      <c r="J833" s="443">
        <v>10</v>
      </c>
    </row>
    <row r="834" spans="1:19" ht="18" customHeight="1" x14ac:dyDescent="0.35">
      <c r="A834" s="274">
        <f>MATCH(B834,STUDIES!$A$3:$A$502,0)</f>
        <v>61</v>
      </c>
      <c r="B834" s="272" t="s">
        <v>1240</v>
      </c>
      <c r="D834" s="281" t="s">
        <v>1056</v>
      </c>
      <c r="E834" s="272" t="s">
        <v>1167</v>
      </c>
      <c r="F834" s="155" t="str">
        <f>_xlfn.XLOOKUP(B834,STUDIES!$A$3:$A$1063,STUDIES!$G$3:$G$1063,"Not Found!")</f>
        <v>A</v>
      </c>
      <c r="G834" s="273" t="s">
        <v>147</v>
      </c>
      <c r="H834" s="273">
        <v>16</v>
      </c>
      <c r="I834" s="442">
        <v>331</v>
      </c>
      <c r="J834" s="443">
        <v>2</v>
      </c>
    </row>
    <row r="835" spans="1:19" ht="18" customHeight="1" x14ac:dyDescent="0.35">
      <c r="A835" s="274">
        <f>MATCH(B835,STUDIES!$A$3:$A$502,0)</f>
        <v>61</v>
      </c>
      <c r="B835" s="272" t="s">
        <v>1240</v>
      </c>
      <c r="D835" s="281" t="s">
        <v>1099</v>
      </c>
      <c r="E835" s="272" t="s">
        <v>1167</v>
      </c>
      <c r="F835" s="155" t="str">
        <f>_xlfn.XLOOKUP(B835,STUDIES!$A$3:$A$1063,STUDIES!$G$3:$G$1063,"Not Found!")</f>
        <v>A</v>
      </c>
      <c r="G835" s="273" t="s">
        <v>147</v>
      </c>
      <c r="H835" s="273">
        <v>16</v>
      </c>
      <c r="I835" s="442">
        <v>342</v>
      </c>
      <c r="J835" s="443">
        <v>3</v>
      </c>
    </row>
    <row r="836" spans="1:19" ht="18" customHeight="1" x14ac:dyDescent="0.35">
      <c r="A836" s="274">
        <f>MATCH(B836,STUDIES!$A$3:$A$502,0)</f>
        <v>61</v>
      </c>
      <c r="B836" s="272" t="s">
        <v>1240</v>
      </c>
      <c r="D836" s="281" t="s">
        <v>1056</v>
      </c>
      <c r="E836" s="272" t="s">
        <v>1243</v>
      </c>
      <c r="F836" s="155" t="str">
        <f>_xlfn.XLOOKUP(B836,STUDIES!$A$3:$A$1063,STUDIES!$G$3:$G$1063,"Not Found!")</f>
        <v>A</v>
      </c>
      <c r="G836" s="273" t="s">
        <v>152</v>
      </c>
      <c r="H836" s="273">
        <v>24</v>
      </c>
      <c r="I836" s="442">
        <v>331</v>
      </c>
      <c r="J836" s="444">
        <f>0.612*I836</f>
        <v>202.572</v>
      </c>
    </row>
    <row r="837" spans="1:19" ht="18" customHeight="1" x14ac:dyDescent="0.35">
      <c r="A837" s="274">
        <f>MATCH(B837,STUDIES!$A$3:$A$502,0)</f>
        <v>61</v>
      </c>
      <c r="B837" s="272" t="s">
        <v>1240</v>
      </c>
      <c r="D837" s="281" t="s">
        <v>1099</v>
      </c>
      <c r="E837" s="272" t="s">
        <v>1243</v>
      </c>
      <c r="F837" s="155" t="str">
        <f>_xlfn.XLOOKUP(B837,STUDIES!$A$3:$A$1063,STUDIES!$G$3:$G$1063,"Not Found!")</f>
        <v>A</v>
      </c>
      <c r="G837" s="273" t="s">
        <v>152</v>
      </c>
      <c r="H837" s="273">
        <v>24</v>
      </c>
      <c r="I837" s="442">
        <v>342</v>
      </c>
      <c r="J837" s="444">
        <f>0.653*I837</f>
        <v>223.32600000000002</v>
      </c>
    </row>
    <row r="838" spans="1:19" ht="18" customHeight="1" x14ac:dyDescent="0.35">
      <c r="A838" s="274">
        <f>MATCH(B838,STUDIES!$A$3:$A$502,0)</f>
        <v>61</v>
      </c>
      <c r="B838" s="272" t="s">
        <v>1240</v>
      </c>
      <c r="D838" s="281" t="s">
        <v>1056</v>
      </c>
      <c r="E838" s="272" t="s">
        <v>1244</v>
      </c>
      <c r="F838" s="155" t="str">
        <f>_xlfn.XLOOKUP(B838,STUDIES!$A$3:$A$1063,STUDIES!$G$3:$G$1063,"Not Found!")</f>
        <v>A</v>
      </c>
      <c r="G838" s="273" t="s">
        <v>152</v>
      </c>
      <c r="H838" s="273">
        <v>24</v>
      </c>
      <c r="I838" s="442">
        <v>331</v>
      </c>
      <c r="J838" s="444">
        <f>0.495*I838</f>
        <v>163.845</v>
      </c>
    </row>
    <row r="839" spans="1:19" ht="18" customHeight="1" x14ac:dyDescent="0.35">
      <c r="A839" s="274">
        <f>MATCH(B839,STUDIES!$A$3:$A$502,0)</f>
        <v>61</v>
      </c>
      <c r="B839" s="272" t="s">
        <v>1240</v>
      </c>
      <c r="D839" s="281" t="s">
        <v>1099</v>
      </c>
      <c r="E839" s="272" t="s">
        <v>1244</v>
      </c>
      <c r="F839" s="155" t="str">
        <f>_xlfn.XLOOKUP(B839,STUDIES!$A$3:$A$1063,STUDIES!$G$3:$G$1063,"Not Found!")</f>
        <v>A</v>
      </c>
      <c r="G839" s="273" t="s">
        <v>152</v>
      </c>
      <c r="H839" s="273">
        <v>24</v>
      </c>
      <c r="I839" s="442">
        <v>342</v>
      </c>
      <c r="J839" s="444">
        <f>0.566*I839</f>
        <v>193.57199999999997</v>
      </c>
    </row>
    <row r="840" spans="1:19" ht="18" customHeight="1" x14ac:dyDescent="0.35">
      <c r="A840" s="274">
        <f>MATCH(B840,STUDIES!$A$3:$A$502,0)</f>
        <v>61</v>
      </c>
      <c r="B840" s="272" t="s">
        <v>1240</v>
      </c>
      <c r="D840" s="281" t="s">
        <v>1056</v>
      </c>
      <c r="E840" s="272" t="s">
        <v>1163</v>
      </c>
      <c r="F840" s="155" t="str">
        <f>_xlfn.XLOOKUP(B840,STUDIES!$A$3:$A$1063,STUDIES!$G$3:$G$1063,"Not Found!")</f>
        <v>A</v>
      </c>
      <c r="G840" s="273" t="s">
        <v>152</v>
      </c>
      <c r="H840" s="273">
        <v>24</v>
      </c>
      <c r="I840" s="442">
        <v>331</v>
      </c>
      <c r="J840" s="443">
        <v>7</v>
      </c>
    </row>
    <row r="841" spans="1:19" ht="18" customHeight="1" x14ac:dyDescent="0.35">
      <c r="A841" s="274">
        <f>MATCH(B841,STUDIES!$A$3:$A$502,0)</f>
        <v>61</v>
      </c>
      <c r="B841" s="272" t="s">
        <v>1240</v>
      </c>
      <c r="D841" s="281" t="s">
        <v>1099</v>
      </c>
      <c r="E841" s="272" t="s">
        <v>1163</v>
      </c>
      <c r="F841" s="155" t="str">
        <f>_xlfn.XLOOKUP(B841,STUDIES!$A$3:$A$1063,STUDIES!$G$3:$G$1063,"Not Found!")</f>
        <v>A</v>
      </c>
      <c r="G841" s="273" t="s">
        <v>152</v>
      </c>
      <c r="H841" s="273">
        <v>24</v>
      </c>
      <c r="I841" s="442">
        <v>342</v>
      </c>
      <c r="J841" s="443">
        <v>14</v>
      </c>
    </row>
    <row r="842" spans="1:19" ht="18" customHeight="1" x14ac:dyDescent="0.35">
      <c r="A842" s="274">
        <f>MATCH(B842,STUDIES!$A$3:$A$502,0)</f>
        <v>61</v>
      </c>
      <c r="B842" s="272" t="s">
        <v>1240</v>
      </c>
      <c r="D842" s="281" t="s">
        <v>1056</v>
      </c>
      <c r="E842" s="272" t="s">
        <v>1167</v>
      </c>
      <c r="F842" s="155" t="str">
        <f>_xlfn.XLOOKUP(B842,STUDIES!$A$3:$A$1063,STUDIES!$G$3:$G$1063,"Not Found!")</f>
        <v>A</v>
      </c>
      <c r="G842" s="273" t="s">
        <v>152</v>
      </c>
      <c r="H842" s="273">
        <v>24</v>
      </c>
      <c r="I842" s="442">
        <v>331</v>
      </c>
      <c r="J842" s="443">
        <v>4</v>
      </c>
    </row>
    <row r="843" spans="1:19" ht="18" customHeight="1" x14ac:dyDescent="0.35">
      <c r="A843" s="274">
        <f>MATCH(B843,STUDIES!$A$3:$A$502,0)</f>
        <v>61</v>
      </c>
      <c r="B843" s="272" t="s">
        <v>1240</v>
      </c>
      <c r="D843" s="281" t="s">
        <v>1099</v>
      </c>
      <c r="E843" s="272" t="s">
        <v>1167</v>
      </c>
      <c r="F843" s="155" t="str">
        <f>_xlfn.XLOOKUP(B843,STUDIES!$A$3:$A$1063,STUDIES!$G$3:$G$1063,"Not Found!")</f>
        <v>A</v>
      </c>
      <c r="G843" s="273" t="s">
        <v>152</v>
      </c>
      <c r="H843" s="273">
        <v>24</v>
      </c>
      <c r="I843" s="442">
        <v>342</v>
      </c>
      <c r="J843" s="443">
        <v>10</v>
      </c>
    </row>
    <row r="844" spans="1:19" ht="18" customHeight="1" x14ac:dyDescent="0.35">
      <c r="A844" s="274">
        <f>MATCH(B844,STUDIES!$A$3:$A$502,0)</f>
        <v>62</v>
      </c>
      <c r="B844" s="272" t="s">
        <v>1262</v>
      </c>
      <c r="D844" s="281" t="s">
        <v>148</v>
      </c>
      <c r="E844" s="272" t="s">
        <v>151</v>
      </c>
      <c r="F844" s="155" t="str">
        <f>_xlfn.XLOOKUP(B844,STUDIES!$A$3:$A$1063,STUDIES!$G$3:$G$1063,"Not Found!")</f>
        <v>A</v>
      </c>
      <c r="G844" s="273" t="s">
        <v>147</v>
      </c>
      <c r="H844" s="273">
        <v>16</v>
      </c>
      <c r="I844" s="273">
        <v>137</v>
      </c>
      <c r="R844" s="283">
        <v>-22.4</v>
      </c>
      <c r="S844" s="268">
        <v>0.8</v>
      </c>
    </row>
    <row r="845" spans="1:19" ht="18" customHeight="1" x14ac:dyDescent="0.35">
      <c r="A845" s="274">
        <f>MATCH(B845,STUDIES!$A$3:$A$502,0)</f>
        <v>62</v>
      </c>
      <c r="B845" s="272" t="s">
        <v>1262</v>
      </c>
      <c r="D845" s="281" t="s">
        <v>1096</v>
      </c>
      <c r="E845" s="272" t="s">
        <v>151</v>
      </c>
      <c r="F845" s="155" t="str">
        <f>_xlfn.XLOOKUP(B845,STUDIES!$A$3:$A$1063,STUDIES!$G$3:$G$1063,"Not Found!")</f>
        <v>A</v>
      </c>
      <c r="G845" s="273" t="s">
        <v>147</v>
      </c>
      <c r="H845" s="273">
        <v>16</v>
      </c>
      <c r="I845" s="273">
        <v>138</v>
      </c>
      <c r="R845" s="283">
        <v>-26.4</v>
      </c>
      <c r="S845" s="268">
        <v>0.8</v>
      </c>
    </row>
    <row r="846" spans="1:19" ht="18" customHeight="1" x14ac:dyDescent="0.35">
      <c r="A846" s="274">
        <f>MATCH(B846,STUDIES!$A$3:$A$502,0)</f>
        <v>62</v>
      </c>
      <c r="B846" s="272" t="s">
        <v>1262</v>
      </c>
      <c r="D846" s="281" t="s">
        <v>148</v>
      </c>
      <c r="E846" s="272" t="s">
        <v>151</v>
      </c>
      <c r="F846" s="155" t="str">
        <f>_xlfn.XLOOKUP(B846,STUDIES!$A$3:$A$1063,STUDIES!$G$3:$G$1063,"Not Found!")</f>
        <v>A</v>
      </c>
      <c r="G846" s="273" t="s">
        <v>152</v>
      </c>
      <c r="H846" s="273">
        <v>26</v>
      </c>
      <c r="I846" s="273">
        <v>137</v>
      </c>
      <c r="R846" s="283">
        <v>-23.7</v>
      </c>
      <c r="S846" s="268">
        <v>0.8</v>
      </c>
    </row>
    <row r="847" spans="1:19" ht="18" customHeight="1" x14ac:dyDescent="0.35">
      <c r="A847" s="274">
        <f>MATCH(B847,STUDIES!$A$3:$A$502,0)</f>
        <v>62</v>
      </c>
      <c r="B847" s="272" t="s">
        <v>1262</v>
      </c>
      <c r="D847" s="281" t="s">
        <v>1096</v>
      </c>
      <c r="E847" s="272" t="s">
        <v>151</v>
      </c>
      <c r="F847" s="155" t="str">
        <f>_xlfn.XLOOKUP(B847,STUDIES!$A$3:$A$1063,STUDIES!$G$3:$G$1063,"Not Found!")</f>
        <v>A</v>
      </c>
      <c r="G847" s="273" t="s">
        <v>152</v>
      </c>
      <c r="H847" s="273">
        <v>26</v>
      </c>
      <c r="I847" s="273">
        <v>138</v>
      </c>
      <c r="R847" s="283">
        <v>-27.2</v>
      </c>
      <c r="S847" s="268">
        <v>0.8</v>
      </c>
    </row>
    <row r="848" spans="1:19" ht="18" customHeight="1" x14ac:dyDescent="0.35">
      <c r="A848" s="274">
        <f>MATCH(B848,STUDIES!$A$3:$A$502,0)</f>
        <v>62</v>
      </c>
      <c r="B848" s="272" t="s">
        <v>1262</v>
      </c>
      <c r="D848" s="281" t="s">
        <v>148</v>
      </c>
      <c r="E848" s="272" t="s">
        <v>153</v>
      </c>
      <c r="F848" s="155" t="str">
        <f>_xlfn.XLOOKUP(B848,STUDIES!$A$3:$A$1063,STUDIES!$G$3:$G$1063,"Not Found!")</f>
        <v>A</v>
      </c>
      <c r="G848" s="273" t="s">
        <v>147</v>
      </c>
      <c r="H848" s="273">
        <v>16</v>
      </c>
      <c r="I848" s="273">
        <v>134</v>
      </c>
      <c r="R848" s="283">
        <v>-8.3000000000000007</v>
      </c>
      <c r="S848" s="268">
        <v>0.6</v>
      </c>
    </row>
    <row r="849" spans="1:19" ht="18" customHeight="1" x14ac:dyDescent="0.35">
      <c r="A849" s="274">
        <f>MATCH(B849,STUDIES!$A$3:$A$502,0)</f>
        <v>62</v>
      </c>
      <c r="B849" s="272" t="s">
        <v>1262</v>
      </c>
      <c r="D849" s="281" t="s">
        <v>1096</v>
      </c>
      <c r="E849" s="272" t="s">
        <v>153</v>
      </c>
      <c r="F849" s="155" t="str">
        <f>_xlfn.XLOOKUP(B849,STUDIES!$A$3:$A$1063,STUDIES!$G$3:$G$1063,"Not Found!")</f>
        <v>A</v>
      </c>
      <c r="G849" s="273" t="s">
        <v>147</v>
      </c>
      <c r="H849" s="273">
        <v>16</v>
      </c>
      <c r="I849" s="273">
        <v>135</v>
      </c>
      <c r="R849" s="283">
        <v>-11.7</v>
      </c>
      <c r="S849" s="268">
        <v>0.6</v>
      </c>
    </row>
    <row r="850" spans="1:19" ht="18" customHeight="1" x14ac:dyDescent="0.35">
      <c r="A850" s="274">
        <f>MATCH(B850,STUDIES!$A$3:$A$502,0)</f>
        <v>62</v>
      </c>
      <c r="B850" s="272" t="s">
        <v>1262</v>
      </c>
      <c r="D850" s="281" t="s">
        <v>148</v>
      </c>
      <c r="E850" s="272" t="s">
        <v>153</v>
      </c>
      <c r="F850" s="155" t="str">
        <f>_xlfn.XLOOKUP(B850,STUDIES!$A$3:$A$1063,STUDIES!$G$3:$G$1063,"Not Found!")</f>
        <v>A</v>
      </c>
      <c r="G850" s="273" t="s">
        <v>152</v>
      </c>
      <c r="H850" s="273">
        <v>26</v>
      </c>
      <c r="I850" s="273">
        <v>134</v>
      </c>
      <c r="R850" s="283">
        <v>-9.1</v>
      </c>
      <c r="S850" s="268">
        <v>0.6</v>
      </c>
    </row>
    <row r="851" spans="1:19" ht="18" customHeight="1" x14ac:dyDescent="0.35">
      <c r="A851" s="274">
        <f>MATCH(B851,STUDIES!$A$3:$A$502,0)</f>
        <v>62</v>
      </c>
      <c r="B851" s="272" t="s">
        <v>1262</v>
      </c>
      <c r="D851" s="281" t="s">
        <v>1096</v>
      </c>
      <c r="E851" s="272" t="s">
        <v>153</v>
      </c>
      <c r="F851" s="155" t="str">
        <f>_xlfn.XLOOKUP(B851,STUDIES!$A$3:$A$1063,STUDIES!$G$3:$G$1063,"Not Found!")</f>
        <v>A</v>
      </c>
      <c r="G851" s="273" t="s">
        <v>152</v>
      </c>
      <c r="H851" s="273">
        <v>26</v>
      </c>
      <c r="I851" s="273">
        <v>135</v>
      </c>
      <c r="R851" s="283">
        <v>-12.6</v>
      </c>
      <c r="S851" s="268">
        <v>0.6</v>
      </c>
    </row>
    <row r="852" spans="1:19" ht="18" customHeight="1" x14ac:dyDescent="0.35">
      <c r="A852" s="274">
        <f>MATCH(B852,STUDIES!$A$3:$A$502,0)</f>
        <v>62</v>
      </c>
      <c r="B852" s="272" t="s">
        <v>1262</v>
      </c>
      <c r="D852" s="281" t="s">
        <v>148</v>
      </c>
      <c r="E852" s="272" t="s">
        <v>154</v>
      </c>
      <c r="F852" s="155" t="str">
        <f>_xlfn.XLOOKUP(B852,STUDIES!$A$3:$A$1063,STUDIES!$G$3:$G$1063,"Not Found!")</f>
        <v>A</v>
      </c>
      <c r="G852" s="273" t="s">
        <v>147</v>
      </c>
      <c r="H852" s="273">
        <v>16</v>
      </c>
      <c r="I852" s="273">
        <v>134</v>
      </c>
      <c r="R852" s="283">
        <v>-9.6</v>
      </c>
      <c r="S852" s="268">
        <v>0.4</v>
      </c>
    </row>
    <row r="853" spans="1:19" ht="18" customHeight="1" x14ac:dyDescent="0.35">
      <c r="A853" s="274">
        <f>MATCH(B853,STUDIES!$A$3:$A$502,0)</f>
        <v>62</v>
      </c>
      <c r="B853" s="272" t="s">
        <v>1262</v>
      </c>
      <c r="D853" s="281" t="s">
        <v>1096</v>
      </c>
      <c r="E853" s="272" t="s">
        <v>154</v>
      </c>
      <c r="F853" s="155" t="str">
        <f>_xlfn.XLOOKUP(B853,STUDIES!$A$3:$A$1063,STUDIES!$G$3:$G$1063,"Not Found!")</f>
        <v>A</v>
      </c>
      <c r="G853" s="273" t="s">
        <v>147</v>
      </c>
      <c r="H853" s="273">
        <v>16</v>
      </c>
      <c r="I853" s="273">
        <v>137</v>
      </c>
      <c r="R853" s="283">
        <v>-11.2</v>
      </c>
      <c r="S853" s="268">
        <v>0.4</v>
      </c>
    </row>
    <row r="854" spans="1:19" ht="18" customHeight="1" x14ac:dyDescent="0.35">
      <c r="A854" s="274">
        <f>MATCH(B854,STUDIES!$A$3:$A$502,0)</f>
        <v>62</v>
      </c>
      <c r="B854" s="272" t="s">
        <v>1262</v>
      </c>
      <c r="D854" s="281" t="s">
        <v>148</v>
      </c>
      <c r="E854" s="272" t="s">
        <v>154</v>
      </c>
      <c r="F854" s="155" t="str">
        <f>_xlfn.XLOOKUP(B854,STUDIES!$A$3:$A$1063,STUDIES!$G$3:$G$1063,"Not Found!")</f>
        <v>A</v>
      </c>
      <c r="G854" s="273" t="s">
        <v>152</v>
      </c>
      <c r="H854" s="273">
        <v>26</v>
      </c>
      <c r="I854" s="273">
        <v>134</v>
      </c>
      <c r="R854" s="283">
        <v>-9.9</v>
      </c>
      <c r="S854" s="268">
        <v>0.4</v>
      </c>
    </row>
    <row r="855" spans="1:19" ht="18" customHeight="1" x14ac:dyDescent="0.35">
      <c r="A855" s="274">
        <f>MATCH(B855,STUDIES!$A$3:$A$502,0)</f>
        <v>62</v>
      </c>
      <c r="B855" s="272" t="s">
        <v>1262</v>
      </c>
      <c r="D855" s="281" t="s">
        <v>1096</v>
      </c>
      <c r="E855" s="272" t="s">
        <v>154</v>
      </c>
      <c r="F855" s="155" t="str">
        <f>_xlfn.XLOOKUP(B855,STUDIES!$A$3:$A$1063,STUDIES!$G$3:$G$1063,"Not Found!")</f>
        <v>A</v>
      </c>
      <c r="G855" s="273" t="s">
        <v>152</v>
      </c>
      <c r="H855" s="273">
        <v>26</v>
      </c>
      <c r="I855" s="273">
        <v>137</v>
      </c>
      <c r="R855" s="283">
        <v>-11.5</v>
      </c>
      <c r="S855" s="268">
        <v>0.4</v>
      </c>
    </row>
    <row r="856" spans="1:19" ht="18" customHeight="1" x14ac:dyDescent="0.35">
      <c r="A856" s="274">
        <f>MATCH(B856,STUDIES!$A$3:$A$502,0)</f>
        <v>62</v>
      </c>
      <c r="B856" s="272" t="s">
        <v>1262</v>
      </c>
      <c r="D856" s="281" t="s">
        <v>148</v>
      </c>
      <c r="E856" s="272" t="s">
        <v>695</v>
      </c>
      <c r="F856" s="155" t="str">
        <f>_xlfn.XLOOKUP(B856,STUDIES!$A$3:$A$1063,STUDIES!$G$3:$G$1063,"Not Found!")</f>
        <v>A</v>
      </c>
      <c r="G856" s="273" t="s">
        <v>147</v>
      </c>
      <c r="H856" s="273">
        <v>16</v>
      </c>
      <c r="I856" s="273">
        <v>136</v>
      </c>
      <c r="R856" s="283">
        <v>-3.1</v>
      </c>
      <c r="S856" s="268">
        <v>0.2</v>
      </c>
    </row>
    <row r="857" spans="1:19" ht="18" customHeight="1" x14ac:dyDescent="0.35">
      <c r="A857" s="274">
        <f>MATCH(B857,STUDIES!$A$3:$A$502,0)</f>
        <v>62</v>
      </c>
      <c r="B857" s="272" t="s">
        <v>1262</v>
      </c>
      <c r="D857" s="281" t="s">
        <v>1096</v>
      </c>
      <c r="E857" s="272" t="s">
        <v>695</v>
      </c>
      <c r="F857" s="155" t="str">
        <f>_xlfn.XLOOKUP(B857,STUDIES!$A$3:$A$1063,STUDIES!$G$3:$G$1063,"Not Found!")</f>
        <v>A</v>
      </c>
      <c r="G857" s="273" t="s">
        <v>147</v>
      </c>
      <c r="H857" s="273">
        <v>16</v>
      </c>
      <c r="I857" s="273">
        <v>137</v>
      </c>
      <c r="R857" s="283">
        <v>-4</v>
      </c>
      <c r="S857" s="268">
        <v>0.2</v>
      </c>
    </row>
    <row r="858" spans="1:19" ht="18" customHeight="1" x14ac:dyDescent="0.35">
      <c r="A858" s="274">
        <f>MATCH(B858,STUDIES!$A$3:$A$502,0)</f>
        <v>62</v>
      </c>
      <c r="B858" s="272" t="s">
        <v>1262</v>
      </c>
      <c r="D858" s="281" t="s">
        <v>148</v>
      </c>
      <c r="E858" s="272" t="s">
        <v>695</v>
      </c>
      <c r="F858" s="155" t="str">
        <f>_xlfn.XLOOKUP(B858,STUDIES!$A$3:$A$1063,STUDIES!$G$3:$G$1063,"Not Found!")</f>
        <v>A</v>
      </c>
      <c r="G858" s="273" t="s">
        <v>152</v>
      </c>
      <c r="H858" s="273">
        <v>26</v>
      </c>
      <c r="I858" s="273">
        <v>136</v>
      </c>
      <c r="R858" s="283">
        <v>-3.4</v>
      </c>
      <c r="S858" s="268">
        <v>0.2</v>
      </c>
    </row>
    <row r="859" spans="1:19" ht="18" customHeight="1" x14ac:dyDescent="0.35">
      <c r="A859" s="274">
        <f>MATCH(B859,STUDIES!$A$3:$A$502,0)</f>
        <v>62</v>
      </c>
      <c r="B859" s="272" t="s">
        <v>1262</v>
      </c>
      <c r="D859" s="281" t="s">
        <v>1096</v>
      </c>
      <c r="E859" s="272" t="s">
        <v>695</v>
      </c>
      <c r="F859" s="155" t="str">
        <f>_xlfn.XLOOKUP(B859,STUDIES!$A$3:$A$1063,STUDIES!$G$3:$G$1063,"Not Found!")</f>
        <v>A</v>
      </c>
      <c r="G859" s="273" t="s">
        <v>152</v>
      </c>
      <c r="H859" s="273">
        <v>26</v>
      </c>
      <c r="I859" s="273">
        <v>137</v>
      </c>
      <c r="R859" s="283">
        <v>-4.3</v>
      </c>
      <c r="S859" s="268">
        <v>0.2</v>
      </c>
    </row>
    <row r="860" spans="1:19" ht="18" customHeight="1" x14ac:dyDescent="0.35">
      <c r="A860" s="274">
        <f>MATCH(B860,STUDIES!$A$3:$A$502,0)</f>
        <v>62</v>
      </c>
      <c r="B860" s="272" t="s">
        <v>1262</v>
      </c>
      <c r="D860" s="281" t="s">
        <v>148</v>
      </c>
      <c r="E860" s="272" t="s">
        <v>1258</v>
      </c>
      <c r="F860" s="155" t="str">
        <f>_xlfn.XLOOKUP(B860,STUDIES!$A$3:$A$1063,STUDIES!$G$3:$G$1063,"Not Found!")</f>
        <v>A</v>
      </c>
      <c r="G860" s="273" t="s">
        <v>147</v>
      </c>
      <c r="H860" s="273">
        <v>16</v>
      </c>
      <c r="I860" s="273">
        <v>137</v>
      </c>
      <c r="J860" s="274">
        <v>95.3</v>
      </c>
    </row>
    <row r="861" spans="1:19" ht="18" customHeight="1" x14ac:dyDescent="0.35">
      <c r="A861" s="274">
        <f>MATCH(B861,STUDIES!$A$3:$A$502,0)</f>
        <v>62</v>
      </c>
      <c r="B861" s="272" t="s">
        <v>1262</v>
      </c>
      <c r="D861" s="281" t="s">
        <v>1096</v>
      </c>
      <c r="E861" s="272" t="s">
        <v>1258</v>
      </c>
      <c r="F861" s="155" t="str">
        <f>_xlfn.XLOOKUP(B861,STUDIES!$A$3:$A$1063,STUDIES!$G$3:$G$1063,"Not Found!")</f>
        <v>A</v>
      </c>
      <c r="G861" s="273" t="s">
        <v>147</v>
      </c>
      <c r="H861" s="273">
        <v>16</v>
      </c>
      <c r="I861" s="273">
        <v>138</v>
      </c>
      <c r="J861" s="274">
        <v>110.4</v>
      </c>
    </row>
    <row r="862" spans="1:19" ht="18" customHeight="1" x14ac:dyDescent="0.35">
      <c r="A862" s="274">
        <f>MATCH(B862,STUDIES!$A$3:$A$502,0)</f>
        <v>62</v>
      </c>
      <c r="B862" s="272" t="s">
        <v>1262</v>
      </c>
      <c r="D862" s="281" t="s">
        <v>148</v>
      </c>
      <c r="E862" s="272" t="s">
        <v>1258</v>
      </c>
      <c r="F862" s="155" t="str">
        <f>_xlfn.XLOOKUP(B862,STUDIES!$A$3:$A$1063,STUDIES!$G$3:$G$1063,"Not Found!")</f>
        <v>A</v>
      </c>
      <c r="G862" s="273" t="s">
        <v>152</v>
      </c>
      <c r="H862" s="273">
        <v>26</v>
      </c>
      <c r="I862" s="273">
        <v>137</v>
      </c>
      <c r="J862" s="274">
        <v>91.9</v>
      </c>
    </row>
    <row r="863" spans="1:19" ht="18" customHeight="1" x14ac:dyDescent="0.35">
      <c r="A863" s="274">
        <f>MATCH(B863,STUDIES!$A$3:$A$502,0)</f>
        <v>62</v>
      </c>
      <c r="B863" s="272" t="s">
        <v>1262</v>
      </c>
      <c r="D863" s="281" t="s">
        <v>1096</v>
      </c>
      <c r="E863" s="272" t="s">
        <v>1258</v>
      </c>
      <c r="F863" s="155" t="str">
        <f>_xlfn.XLOOKUP(B863,STUDIES!$A$3:$A$1063,STUDIES!$G$3:$G$1063,"Not Found!")</f>
        <v>A</v>
      </c>
      <c r="G863" s="273" t="s">
        <v>152</v>
      </c>
      <c r="H863" s="273">
        <v>26</v>
      </c>
      <c r="I863" s="273">
        <v>138</v>
      </c>
      <c r="J863" s="274">
        <v>111.2</v>
      </c>
    </row>
    <row r="864" spans="1:19" ht="18" customHeight="1" x14ac:dyDescent="0.35">
      <c r="A864" s="274">
        <f>MATCH(B864,STUDIES!$A$3:$A$502,0)</f>
        <v>62</v>
      </c>
      <c r="B864" s="272" t="s">
        <v>1262</v>
      </c>
      <c r="D864" s="281" t="s">
        <v>148</v>
      </c>
      <c r="E864" s="272" t="s">
        <v>1243</v>
      </c>
      <c r="F864" s="155" t="str">
        <f>_xlfn.XLOOKUP(B864,STUDIES!$A$3:$A$1063,STUDIES!$G$3:$G$1063,"Not Found!")</f>
        <v>A</v>
      </c>
      <c r="G864" s="273" t="s">
        <v>147</v>
      </c>
      <c r="H864" s="273">
        <v>16</v>
      </c>
      <c r="I864" s="273">
        <v>137</v>
      </c>
      <c r="J864" s="274">
        <v>69.2</v>
      </c>
    </row>
    <row r="865" spans="1:19" ht="18" customHeight="1" x14ac:dyDescent="0.35">
      <c r="A865" s="274">
        <f>MATCH(B865,STUDIES!$A$3:$A$502,0)</f>
        <v>62</v>
      </c>
      <c r="B865" s="272" t="s">
        <v>1262</v>
      </c>
      <c r="D865" s="281" t="s">
        <v>1096</v>
      </c>
      <c r="E865" s="272" t="s">
        <v>1243</v>
      </c>
      <c r="F865" s="155" t="str">
        <f>_xlfn.XLOOKUP(B865,STUDIES!$A$3:$A$1063,STUDIES!$G$3:$G$1063,"Not Found!")</f>
        <v>A</v>
      </c>
      <c r="G865" s="273" t="s">
        <v>147</v>
      </c>
      <c r="H865" s="273">
        <v>16</v>
      </c>
      <c r="I865" s="273">
        <v>138</v>
      </c>
      <c r="J865" s="274">
        <v>88.6</v>
      </c>
    </row>
    <row r="866" spans="1:19" ht="18" customHeight="1" x14ac:dyDescent="0.35">
      <c r="A866" s="274">
        <f>MATCH(B866,STUDIES!$A$3:$A$502,0)</f>
        <v>62</v>
      </c>
      <c r="B866" s="272" t="s">
        <v>1262</v>
      </c>
      <c r="D866" s="281" t="s">
        <v>148</v>
      </c>
      <c r="E866" s="272" t="s">
        <v>1243</v>
      </c>
      <c r="F866" s="155" t="str">
        <f>_xlfn.XLOOKUP(B866,STUDIES!$A$3:$A$1063,STUDIES!$G$3:$G$1063,"Not Found!")</f>
        <v>A</v>
      </c>
      <c r="G866" s="273" t="s">
        <v>152</v>
      </c>
      <c r="H866" s="273">
        <v>26</v>
      </c>
      <c r="I866" s="273">
        <v>137</v>
      </c>
      <c r="J866" s="274">
        <v>75.7</v>
      </c>
    </row>
    <row r="867" spans="1:19" ht="18" customHeight="1" x14ac:dyDescent="0.35">
      <c r="A867" s="274">
        <f>MATCH(B867,STUDIES!$A$3:$A$502,0)</f>
        <v>62</v>
      </c>
      <c r="B867" s="272" t="s">
        <v>1262</v>
      </c>
      <c r="D867" s="281" t="s">
        <v>1096</v>
      </c>
      <c r="E867" s="272" t="s">
        <v>1243</v>
      </c>
      <c r="F867" s="155" t="str">
        <f>_xlfn.XLOOKUP(B867,STUDIES!$A$3:$A$1063,STUDIES!$G$3:$G$1063,"Not Found!")</f>
        <v>A</v>
      </c>
      <c r="G867" s="273" t="s">
        <v>152</v>
      </c>
      <c r="H867" s="273">
        <v>26</v>
      </c>
      <c r="I867" s="273">
        <v>138</v>
      </c>
      <c r="J867" s="274">
        <v>95</v>
      </c>
    </row>
    <row r="868" spans="1:19" ht="18" customHeight="1" x14ac:dyDescent="0.35">
      <c r="A868" s="274">
        <f>MATCH(B868,STUDIES!$A$3:$A$502,0)</f>
        <v>62</v>
      </c>
      <c r="B868" s="272" t="s">
        <v>1262</v>
      </c>
      <c r="D868" s="281" t="s">
        <v>148</v>
      </c>
      <c r="E868" s="272" t="s">
        <v>1244</v>
      </c>
      <c r="F868" s="155" t="str">
        <f>_xlfn.XLOOKUP(B868,STUDIES!$A$3:$A$1063,STUDIES!$G$3:$G$1063,"Not Found!")</f>
        <v>A</v>
      </c>
      <c r="G868" s="273" t="s">
        <v>147</v>
      </c>
      <c r="H868" s="273">
        <v>16</v>
      </c>
      <c r="I868" s="273">
        <v>137</v>
      </c>
      <c r="J868" s="274">
        <v>40.200000000000003</v>
      </c>
    </row>
    <row r="869" spans="1:19" ht="18" customHeight="1" x14ac:dyDescent="0.35">
      <c r="A869" s="274">
        <f>MATCH(B869,STUDIES!$A$3:$A$502,0)</f>
        <v>62</v>
      </c>
      <c r="B869" s="272" t="s">
        <v>1262</v>
      </c>
      <c r="D869" s="281" t="s">
        <v>1096</v>
      </c>
      <c r="E869" s="272" t="s">
        <v>1244</v>
      </c>
      <c r="F869" s="155" t="str">
        <f>_xlfn.XLOOKUP(B869,STUDIES!$A$3:$A$1063,STUDIES!$G$3:$G$1063,"Not Found!")</f>
        <v>A</v>
      </c>
      <c r="G869" s="273" t="s">
        <v>147</v>
      </c>
      <c r="H869" s="273">
        <v>16</v>
      </c>
      <c r="I869" s="273">
        <v>138</v>
      </c>
      <c r="J869" s="274">
        <v>56.7</v>
      </c>
    </row>
    <row r="870" spans="1:19" ht="18" customHeight="1" x14ac:dyDescent="0.35">
      <c r="A870" s="274">
        <f>MATCH(B870,STUDIES!$A$3:$A$502,0)</f>
        <v>62</v>
      </c>
      <c r="B870" s="272" t="s">
        <v>1262</v>
      </c>
      <c r="D870" s="281" t="s">
        <v>148</v>
      </c>
      <c r="E870" s="272" t="s">
        <v>1244</v>
      </c>
      <c r="F870" s="155" t="str">
        <f>_xlfn.XLOOKUP(B870,STUDIES!$A$3:$A$1063,STUDIES!$G$3:$G$1063,"Not Found!")</f>
        <v>A</v>
      </c>
      <c r="G870" s="273" t="s">
        <v>152</v>
      </c>
      <c r="H870" s="273">
        <v>26</v>
      </c>
      <c r="I870" s="273">
        <v>137</v>
      </c>
      <c r="J870" s="274">
        <v>49.8</v>
      </c>
    </row>
    <row r="871" spans="1:19" ht="18" customHeight="1" x14ac:dyDescent="0.35">
      <c r="A871" s="274">
        <f>MATCH(B871,STUDIES!$A$3:$A$502,0)</f>
        <v>62</v>
      </c>
      <c r="B871" s="272" t="s">
        <v>1262</v>
      </c>
      <c r="D871" s="281" t="s">
        <v>1096</v>
      </c>
      <c r="E871" s="272" t="s">
        <v>1244</v>
      </c>
      <c r="F871" s="155" t="str">
        <f>_xlfn.XLOOKUP(B871,STUDIES!$A$3:$A$1063,STUDIES!$G$3:$G$1063,"Not Found!")</f>
        <v>A</v>
      </c>
      <c r="G871" s="273" t="s">
        <v>152</v>
      </c>
      <c r="H871" s="273">
        <v>26</v>
      </c>
      <c r="I871" s="273">
        <v>138</v>
      </c>
      <c r="J871" s="274">
        <v>67.099999999999994</v>
      </c>
    </row>
    <row r="872" spans="1:19" ht="18" customHeight="1" x14ac:dyDescent="0.35">
      <c r="A872" s="274">
        <f>MATCH(B872,STUDIES!$A$3:$A$502,0)</f>
        <v>62</v>
      </c>
      <c r="B872" s="272" t="s">
        <v>1262</v>
      </c>
      <c r="D872" s="281" t="s">
        <v>148</v>
      </c>
      <c r="E872" s="272" t="s">
        <v>1268</v>
      </c>
      <c r="F872" s="155" t="str">
        <f>_xlfn.XLOOKUP(B872,STUDIES!$A$3:$A$1063,STUDIES!$G$3:$G$1063,"Not Found!")</f>
        <v>A</v>
      </c>
      <c r="G872" s="273" t="s">
        <v>147</v>
      </c>
      <c r="H872" s="273">
        <v>16</v>
      </c>
      <c r="I872" s="273">
        <v>137</v>
      </c>
      <c r="J872" s="274">
        <f>0.26*I872</f>
        <v>35.620000000000005</v>
      </c>
    </row>
    <row r="873" spans="1:19" ht="18" customHeight="1" x14ac:dyDescent="0.35">
      <c r="A873" s="274">
        <f>MATCH(B873,STUDIES!$A$3:$A$502,0)</f>
        <v>62</v>
      </c>
      <c r="B873" s="272" t="s">
        <v>1262</v>
      </c>
      <c r="D873" s="281" t="s">
        <v>1096</v>
      </c>
      <c r="E873" s="272" t="s">
        <v>1268</v>
      </c>
      <c r="F873" s="155" t="str">
        <f>_xlfn.XLOOKUP(B873,STUDIES!$A$3:$A$1063,STUDIES!$G$3:$G$1063,"Not Found!")</f>
        <v>A</v>
      </c>
      <c r="G873" s="273" t="s">
        <v>147</v>
      </c>
      <c r="H873" s="273">
        <v>16</v>
      </c>
      <c r="I873" s="273">
        <v>138</v>
      </c>
      <c r="J873" s="274">
        <f>0.409*I873</f>
        <v>56.441999999999993</v>
      </c>
    </row>
    <row r="874" spans="1:19" ht="18" customHeight="1" x14ac:dyDescent="0.35">
      <c r="A874" s="274">
        <f>MATCH(B874,STUDIES!$A$3:$A$502,0)</f>
        <v>62</v>
      </c>
      <c r="B874" s="272" t="s">
        <v>1262</v>
      </c>
      <c r="D874" s="281" t="s">
        <v>148</v>
      </c>
      <c r="E874" s="272" t="s">
        <v>1268</v>
      </c>
      <c r="F874" s="155" t="str">
        <f>_xlfn.XLOOKUP(B874,STUDIES!$A$3:$A$1063,STUDIES!$G$3:$G$1063,"Not Found!")</f>
        <v>A</v>
      </c>
      <c r="G874" s="273" t="s">
        <v>152</v>
      </c>
      <c r="H874" s="273">
        <v>26</v>
      </c>
      <c r="I874" s="273">
        <v>137</v>
      </c>
      <c r="J874" s="274">
        <f>0.334*I874</f>
        <v>45.758000000000003</v>
      </c>
    </row>
    <row r="875" spans="1:19" ht="18" customHeight="1" x14ac:dyDescent="0.35">
      <c r="A875" s="274">
        <f>MATCH(B875,STUDIES!$A$3:$A$502,0)</f>
        <v>62</v>
      </c>
      <c r="B875" s="272" t="s">
        <v>1262</v>
      </c>
      <c r="D875" s="281" t="s">
        <v>1096</v>
      </c>
      <c r="E875" s="272" t="s">
        <v>1268</v>
      </c>
      <c r="F875" s="155" t="str">
        <f>_xlfn.XLOOKUP(B875,STUDIES!$A$3:$A$1063,STUDIES!$G$3:$G$1063,"Not Found!")</f>
        <v>A</v>
      </c>
      <c r="G875" s="273" t="s">
        <v>152</v>
      </c>
      <c r="H875" s="273">
        <v>26</v>
      </c>
      <c r="I875" s="273">
        <v>138</v>
      </c>
      <c r="J875" s="274">
        <f>0.47*I875</f>
        <v>64.86</v>
      </c>
    </row>
    <row r="876" spans="1:19" ht="18" customHeight="1" x14ac:dyDescent="0.35">
      <c r="A876" s="274">
        <f>MATCH(B876,STUDIES!$A$3:$A$502,0)</f>
        <v>62</v>
      </c>
      <c r="B876" s="272" t="s">
        <v>1262</v>
      </c>
      <c r="D876" s="281" t="s">
        <v>148</v>
      </c>
      <c r="E876" s="272" t="s">
        <v>1163</v>
      </c>
      <c r="F876" s="155" t="str">
        <f>_xlfn.XLOOKUP(B876,STUDIES!$A$3:$A$1063,STUDIES!$G$3:$G$1063,"Not Found!")</f>
        <v>A</v>
      </c>
      <c r="G876" s="273" t="s">
        <v>152</v>
      </c>
      <c r="H876" s="273">
        <v>26</v>
      </c>
      <c r="I876" s="273">
        <v>137</v>
      </c>
      <c r="J876" s="274">
        <v>5</v>
      </c>
    </row>
    <row r="877" spans="1:19" ht="18" customHeight="1" x14ac:dyDescent="0.35">
      <c r="A877" s="274">
        <f>MATCH(B877,STUDIES!$A$3:$A$502,0)</f>
        <v>62</v>
      </c>
      <c r="B877" s="272" t="s">
        <v>1262</v>
      </c>
      <c r="D877" s="281" t="s">
        <v>1096</v>
      </c>
      <c r="E877" s="272" t="s">
        <v>1163</v>
      </c>
      <c r="F877" s="155" t="str">
        <f>_xlfn.XLOOKUP(B877,STUDIES!$A$3:$A$1063,STUDIES!$G$3:$G$1063,"Not Found!")</f>
        <v>A</v>
      </c>
      <c r="G877" s="273" t="s">
        <v>152</v>
      </c>
      <c r="H877" s="273">
        <v>26</v>
      </c>
      <c r="I877" s="273">
        <v>138</v>
      </c>
      <c r="J877" s="274">
        <v>1</v>
      </c>
    </row>
    <row r="878" spans="1:19" ht="18" customHeight="1" x14ac:dyDescent="0.35">
      <c r="A878" s="274">
        <f>MATCH(B878,STUDIES!$A$3:$A$502,0)</f>
        <v>62</v>
      </c>
      <c r="B878" s="272" t="s">
        <v>1262</v>
      </c>
      <c r="D878" s="281" t="s">
        <v>148</v>
      </c>
      <c r="E878" s="272" t="s">
        <v>1167</v>
      </c>
      <c r="F878" s="155" t="str">
        <f>_xlfn.XLOOKUP(B878,STUDIES!$A$3:$A$1063,STUDIES!$G$3:$G$1063,"Not Found!")</f>
        <v>A</v>
      </c>
      <c r="G878" s="273" t="s">
        <v>152</v>
      </c>
      <c r="H878" s="273">
        <v>26</v>
      </c>
      <c r="I878" s="273">
        <v>137</v>
      </c>
      <c r="J878" s="274">
        <v>3</v>
      </c>
    </row>
    <row r="879" spans="1:19" ht="18" customHeight="1" x14ac:dyDescent="0.35">
      <c r="A879" s="274">
        <f>MATCH(B879,STUDIES!$A$3:$A$502,0)</f>
        <v>62</v>
      </c>
      <c r="B879" s="272" t="s">
        <v>1262</v>
      </c>
      <c r="D879" s="281" t="s">
        <v>1096</v>
      </c>
      <c r="E879" s="272" t="s">
        <v>1167</v>
      </c>
      <c r="F879" s="155" t="str">
        <f>_xlfn.XLOOKUP(B879,STUDIES!$A$3:$A$1063,STUDIES!$G$3:$G$1063,"Not Found!")</f>
        <v>A</v>
      </c>
      <c r="G879" s="273" t="s">
        <v>152</v>
      </c>
      <c r="H879" s="273">
        <v>26</v>
      </c>
      <c r="I879" s="273">
        <v>138</v>
      </c>
      <c r="J879" s="274">
        <v>1</v>
      </c>
    </row>
    <row r="880" spans="1:19" ht="18" customHeight="1" x14ac:dyDescent="0.35">
      <c r="A880" s="274">
        <f>MATCH(B880,STUDIES!$A$3:$A$502,0)</f>
        <v>63</v>
      </c>
      <c r="B880" s="272" t="s">
        <v>1655</v>
      </c>
      <c r="D880" s="281" t="s">
        <v>1096</v>
      </c>
      <c r="E880" s="272" t="s">
        <v>151</v>
      </c>
      <c r="F880" s="155" t="str">
        <f>_xlfn.XLOOKUP(B880,STUDIES!$A$3:$A$1063,STUDIES!$G$3:$G$1063,"Not Found!")</f>
        <v>BC</v>
      </c>
      <c r="G880" s="273" t="s">
        <v>147</v>
      </c>
      <c r="H880" s="273">
        <v>16</v>
      </c>
      <c r="I880" s="273">
        <v>97</v>
      </c>
      <c r="R880" s="283">
        <v>-18.100000000000001</v>
      </c>
      <c r="S880" s="268">
        <v>1.3</v>
      </c>
    </row>
    <row r="881" spans="1:19" ht="18" customHeight="1" x14ac:dyDescent="0.35">
      <c r="A881" s="274">
        <f>MATCH(B881,STUDIES!$A$3:$A$502,0)</f>
        <v>63</v>
      </c>
      <c r="B881" s="272" t="s">
        <v>1655</v>
      </c>
      <c r="D881" s="281" t="s">
        <v>1274</v>
      </c>
      <c r="E881" s="272" t="s">
        <v>151</v>
      </c>
      <c r="F881" s="155" t="str">
        <f>_xlfn.XLOOKUP(B881,STUDIES!$A$3:$A$1063,STUDIES!$G$3:$G$1063,"Not Found!")</f>
        <v>BC</v>
      </c>
      <c r="G881" s="273" t="s">
        <v>147</v>
      </c>
      <c r="H881" s="273">
        <v>16</v>
      </c>
      <c r="I881" s="273">
        <v>98</v>
      </c>
      <c r="R881" s="283">
        <v>-18.100000000000001</v>
      </c>
      <c r="S881" s="268">
        <v>1.4</v>
      </c>
    </row>
    <row r="882" spans="1:19" ht="18" customHeight="1" x14ac:dyDescent="0.35">
      <c r="A882" s="274">
        <f>MATCH(B882,STUDIES!$A$3:$A$502,0)</f>
        <v>63</v>
      </c>
      <c r="B882" s="272" t="s">
        <v>1655</v>
      </c>
      <c r="D882" s="281" t="s">
        <v>148</v>
      </c>
      <c r="E882" s="272" t="s">
        <v>151</v>
      </c>
      <c r="F882" s="155" t="str">
        <f>_xlfn.XLOOKUP(B882,STUDIES!$A$3:$A$1063,STUDIES!$G$3:$G$1063,"Not Found!")</f>
        <v>BC</v>
      </c>
      <c r="G882" s="273" t="s">
        <v>147</v>
      </c>
      <c r="H882" s="273">
        <v>16</v>
      </c>
      <c r="I882" s="273">
        <v>94</v>
      </c>
      <c r="R882" s="283">
        <v>-8.6999999999999993</v>
      </c>
      <c r="S882" s="268">
        <v>1.6</v>
      </c>
    </row>
    <row r="883" spans="1:19" ht="18" customHeight="1" x14ac:dyDescent="0.35">
      <c r="A883" s="274">
        <f>MATCH(B883,STUDIES!$A$3:$A$502,0)</f>
        <v>63</v>
      </c>
      <c r="B883" s="272" t="s">
        <v>1655</v>
      </c>
      <c r="D883" s="281" t="s">
        <v>1096</v>
      </c>
      <c r="E883" s="272" t="s">
        <v>153</v>
      </c>
      <c r="F883" s="155" t="str">
        <f>_xlfn.XLOOKUP(B883,STUDIES!$A$3:$A$1063,STUDIES!$G$3:$G$1063,"Not Found!")</f>
        <v>BC</v>
      </c>
      <c r="G883" s="273" t="s">
        <v>147</v>
      </c>
      <c r="H883" s="273">
        <v>16</v>
      </c>
      <c r="I883" s="273">
        <v>94</v>
      </c>
      <c r="R883" s="283">
        <v>-8.4</v>
      </c>
      <c r="S883" s="268">
        <v>0.8</v>
      </c>
    </row>
    <row r="884" spans="1:19" ht="18" customHeight="1" x14ac:dyDescent="0.35">
      <c r="A884" s="274">
        <f>MATCH(B884,STUDIES!$A$3:$A$502,0)</f>
        <v>63</v>
      </c>
      <c r="B884" s="272" t="s">
        <v>1655</v>
      </c>
      <c r="D884" s="281" t="s">
        <v>1274</v>
      </c>
      <c r="E884" s="272" t="s">
        <v>153</v>
      </c>
      <c r="F884" s="155" t="str">
        <f>_xlfn.XLOOKUP(B884,STUDIES!$A$3:$A$1063,STUDIES!$G$3:$G$1063,"Not Found!")</f>
        <v>BC</v>
      </c>
      <c r="G884" s="273" t="s">
        <v>147</v>
      </c>
      <c r="H884" s="273">
        <v>16</v>
      </c>
      <c r="I884" s="273">
        <v>95</v>
      </c>
      <c r="R884" s="283">
        <v>-7.8</v>
      </c>
      <c r="S884" s="268">
        <v>0.8</v>
      </c>
    </row>
    <row r="885" spans="1:19" ht="18" customHeight="1" x14ac:dyDescent="0.35">
      <c r="A885" s="274">
        <f>MATCH(B885,STUDIES!$A$3:$A$502,0)</f>
        <v>63</v>
      </c>
      <c r="B885" s="272" t="s">
        <v>1655</v>
      </c>
      <c r="D885" s="281" t="s">
        <v>148</v>
      </c>
      <c r="E885" s="272" t="s">
        <v>153</v>
      </c>
      <c r="F885" s="155" t="str">
        <f>_xlfn.XLOOKUP(B885,STUDIES!$A$3:$A$1063,STUDIES!$G$3:$G$1063,"Not Found!")</f>
        <v>BC</v>
      </c>
      <c r="G885" s="273" t="s">
        <v>147</v>
      </c>
      <c r="H885" s="273">
        <v>16</v>
      </c>
      <c r="I885" s="273">
        <v>87</v>
      </c>
      <c r="R885" s="283">
        <v>-2.4</v>
      </c>
      <c r="S885" s="268">
        <v>1</v>
      </c>
    </row>
    <row r="886" spans="1:19" ht="18" customHeight="1" x14ac:dyDescent="0.35">
      <c r="A886" s="274">
        <f>MATCH(B886,STUDIES!$A$3:$A$502,0)</f>
        <v>63</v>
      </c>
      <c r="B886" s="272" t="s">
        <v>1655</v>
      </c>
      <c r="D886" s="281" t="s">
        <v>1096</v>
      </c>
      <c r="E886" s="272" t="s">
        <v>694</v>
      </c>
      <c r="F886" s="155" t="str">
        <f>_xlfn.XLOOKUP(B886,STUDIES!$A$3:$A$1063,STUDIES!$G$3:$G$1063,"Not Found!")</f>
        <v>BC</v>
      </c>
      <c r="G886" s="273" t="s">
        <v>147</v>
      </c>
      <c r="H886" s="273">
        <v>16</v>
      </c>
      <c r="I886" s="273">
        <v>94</v>
      </c>
      <c r="R886" s="283">
        <v>-6.7</v>
      </c>
      <c r="S886" s="268">
        <v>0.6</v>
      </c>
    </row>
    <row r="887" spans="1:19" ht="18" customHeight="1" x14ac:dyDescent="0.35">
      <c r="A887" s="274">
        <f>MATCH(B887,STUDIES!$A$3:$A$502,0)</f>
        <v>63</v>
      </c>
      <c r="B887" s="272" t="s">
        <v>1655</v>
      </c>
      <c r="D887" s="281" t="s">
        <v>1274</v>
      </c>
      <c r="E887" s="272" t="s">
        <v>694</v>
      </c>
      <c r="F887" s="155" t="str">
        <f>_xlfn.XLOOKUP(B887,STUDIES!$A$3:$A$1063,STUDIES!$G$3:$G$1063,"Not Found!")</f>
        <v>BC</v>
      </c>
      <c r="G887" s="273" t="s">
        <v>147</v>
      </c>
      <c r="H887" s="273">
        <v>16</v>
      </c>
      <c r="I887" s="273">
        <v>95</v>
      </c>
      <c r="R887" s="283">
        <v>-6.1</v>
      </c>
      <c r="S887" s="268">
        <v>0.6</v>
      </c>
    </row>
    <row r="888" spans="1:19" ht="18" customHeight="1" x14ac:dyDescent="0.35">
      <c r="A888" s="274">
        <f>MATCH(B888,STUDIES!$A$3:$A$502,0)</f>
        <v>63</v>
      </c>
      <c r="B888" s="272" t="s">
        <v>1655</v>
      </c>
      <c r="D888" s="281" t="s">
        <v>148</v>
      </c>
      <c r="E888" s="272" t="s">
        <v>694</v>
      </c>
      <c r="F888" s="155" t="str">
        <f>_xlfn.XLOOKUP(B888,STUDIES!$A$3:$A$1063,STUDIES!$G$3:$G$1063,"Not Found!")</f>
        <v>BC</v>
      </c>
      <c r="G888" s="273" t="s">
        <v>147</v>
      </c>
      <c r="H888" s="273">
        <v>16</v>
      </c>
      <c r="I888" s="273">
        <v>89</v>
      </c>
      <c r="R888" s="283">
        <v>-4.0999999999999996</v>
      </c>
      <c r="S888" s="268">
        <v>0.7</v>
      </c>
    </row>
    <row r="889" spans="1:19" ht="18" customHeight="1" x14ac:dyDescent="0.35">
      <c r="A889" s="274">
        <f>MATCH(B889,STUDIES!$A$3:$A$502,0)</f>
        <v>63</v>
      </c>
      <c r="B889" s="272" t="s">
        <v>1655</v>
      </c>
      <c r="D889" s="281" t="s">
        <v>1096</v>
      </c>
      <c r="E889" s="272" t="s">
        <v>695</v>
      </c>
      <c r="F889" s="155" t="str">
        <f>_xlfn.XLOOKUP(B889,STUDIES!$A$3:$A$1063,STUDIES!$G$3:$G$1063,"Not Found!")</f>
        <v>BC</v>
      </c>
      <c r="G889" s="273" t="s">
        <v>147</v>
      </c>
      <c r="H889" s="273">
        <v>16</v>
      </c>
      <c r="I889" s="273">
        <v>96</v>
      </c>
      <c r="R889" s="283">
        <v>-3</v>
      </c>
      <c r="S889" s="268">
        <v>0.3</v>
      </c>
    </row>
    <row r="890" spans="1:19" ht="18" customHeight="1" x14ac:dyDescent="0.35">
      <c r="A890" s="274">
        <f>MATCH(B890,STUDIES!$A$3:$A$502,0)</f>
        <v>63</v>
      </c>
      <c r="B890" s="272" t="s">
        <v>1655</v>
      </c>
      <c r="D890" s="281" t="s">
        <v>1274</v>
      </c>
      <c r="E890" s="272" t="s">
        <v>695</v>
      </c>
      <c r="F890" s="155" t="str">
        <f>_xlfn.XLOOKUP(B890,STUDIES!$A$3:$A$1063,STUDIES!$G$3:$G$1063,"Not Found!")</f>
        <v>BC</v>
      </c>
      <c r="G890" s="273" t="s">
        <v>147</v>
      </c>
      <c r="H890" s="273">
        <v>16</v>
      </c>
      <c r="I890" s="273">
        <v>96</v>
      </c>
      <c r="R890" s="283">
        <v>-2.7</v>
      </c>
      <c r="S890" s="268">
        <v>0.3</v>
      </c>
    </row>
    <row r="891" spans="1:19" ht="18" customHeight="1" x14ac:dyDescent="0.35">
      <c r="A891" s="274">
        <f>MATCH(B891,STUDIES!$A$3:$A$502,0)</f>
        <v>63</v>
      </c>
      <c r="B891" s="272" t="s">
        <v>1655</v>
      </c>
      <c r="D891" s="281" t="s">
        <v>148</v>
      </c>
      <c r="E891" s="272" t="s">
        <v>695</v>
      </c>
      <c r="F891" s="155" t="str">
        <f>_xlfn.XLOOKUP(B891,STUDIES!$A$3:$A$1063,STUDIES!$G$3:$G$1063,"Not Found!")</f>
        <v>BC</v>
      </c>
      <c r="G891" s="273" t="s">
        <v>147</v>
      </c>
      <c r="H891" s="273">
        <v>16</v>
      </c>
      <c r="I891" s="273">
        <v>92</v>
      </c>
      <c r="R891" s="283">
        <v>-1.5</v>
      </c>
      <c r="S891" s="268">
        <v>0.3</v>
      </c>
    </row>
    <row r="892" spans="1:19" ht="18" customHeight="1" x14ac:dyDescent="0.35">
      <c r="A892" s="274">
        <f>MATCH(B892,STUDIES!$A$3:$A$502,0)</f>
        <v>63</v>
      </c>
      <c r="B892" s="272" t="s">
        <v>1655</v>
      </c>
      <c r="D892" s="281" t="s">
        <v>1096</v>
      </c>
      <c r="E892" s="272" t="s">
        <v>1258</v>
      </c>
      <c r="F892" s="155" t="str">
        <f>_xlfn.XLOOKUP(B892,STUDIES!$A$3:$A$1063,STUDIES!$G$3:$G$1063,"Not Found!")</f>
        <v>BC</v>
      </c>
      <c r="G892" s="273" t="s">
        <v>147</v>
      </c>
      <c r="H892" s="273">
        <v>16</v>
      </c>
      <c r="I892" s="273">
        <v>97</v>
      </c>
      <c r="J892" s="274">
        <v>50</v>
      </c>
    </row>
    <row r="893" spans="1:19" ht="18" customHeight="1" x14ac:dyDescent="0.35">
      <c r="A893" s="274">
        <f>MATCH(B893,STUDIES!$A$3:$A$502,0)</f>
        <v>63</v>
      </c>
      <c r="B893" s="272" t="s">
        <v>1655</v>
      </c>
      <c r="D893" s="281" t="s">
        <v>1274</v>
      </c>
      <c r="E893" s="272" t="s">
        <v>1258</v>
      </c>
      <c r="F893" s="155" t="str">
        <f>_xlfn.XLOOKUP(B893,STUDIES!$A$3:$A$1063,STUDIES!$G$3:$G$1063,"Not Found!")</f>
        <v>BC</v>
      </c>
      <c r="G893" s="273" t="s">
        <v>147</v>
      </c>
      <c r="H893" s="273">
        <v>16</v>
      </c>
      <c r="I893" s="273">
        <v>98</v>
      </c>
      <c r="J893" s="274">
        <v>45</v>
      </c>
    </row>
    <row r="894" spans="1:19" ht="18" customHeight="1" x14ac:dyDescent="0.35">
      <c r="A894" s="274">
        <f>MATCH(B894,STUDIES!$A$3:$A$502,0)</f>
        <v>63</v>
      </c>
      <c r="B894" s="272" t="s">
        <v>1655</v>
      </c>
      <c r="D894" s="281" t="s">
        <v>148</v>
      </c>
      <c r="E894" s="272" t="s">
        <v>1258</v>
      </c>
      <c r="F894" s="155" t="str">
        <f>_xlfn.XLOOKUP(B894,STUDIES!$A$3:$A$1063,STUDIES!$G$3:$G$1063,"Not Found!")</f>
        <v>BC</v>
      </c>
      <c r="G894" s="273" t="s">
        <v>147</v>
      </c>
      <c r="H894" s="273">
        <v>16</v>
      </c>
      <c r="I894" s="273">
        <v>94</v>
      </c>
      <c r="J894" s="274">
        <v>13</v>
      </c>
    </row>
    <row r="895" spans="1:19" ht="18" customHeight="1" x14ac:dyDescent="0.35">
      <c r="A895" s="274">
        <f>MATCH(B895,STUDIES!$A$3:$A$502,0)</f>
        <v>63</v>
      </c>
      <c r="B895" s="272" t="s">
        <v>1655</v>
      </c>
      <c r="D895" s="281" t="s">
        <v>1096</v>
      </c>
      <c r="E895" s="272" t="s">
        <v>1243</v>
      </c>
      <c r="F895" s="155" t="str">
        <f>_xlfn.XLOOKUP(B895,STUDIES!$A$3:$A$1063,STUDIES!$G$3:$G$1063,"Not Found!")</f>
        <v>BC</v>
      </c>
      <c r="G895" s="273" t="s">
        <v>147</v>
      </c>
      <c r="H895" s="273">
        <v>16</v>
      </c>
      <c r="I895" s="273">
        <v>97</v>
      </c>
      <c r="J895" s="274">
        <v>27</v>
      </c>
    </row>
    <row r="896" spans="1:19" ht="18" customHeight="1" x14ac:dyDescent="0.35">
      <c r="A896" s="274">
        <f>MATCH(B896,STUDIES!$A$3:$A$502,0)</f>
        <v>63</v>
      </c>
      <c r="B896" s="272" t="s">
        <v>1655</v>
      </c>
      <c r="D896" s="281" t="s">
        <v>1274</v>
      </c>
      <c r="E896" s="272" t="s">
        <v>1243</v>
      </c>
      <c r="F896" s="155" t="str">
        <f>_xlfn.XLOOKUP(B896,STUDIES!$A$3:$A$1063,STUDIES!$G$3:$G$1063,"Not Found!")</f>
        <v>BC</v>
      </c>
      <c r="G896" s="273" t="s">
        <v>147</v>
      </c>
      <c r="H896" s="273">
        <v>16</v>
      </c>
      <c r="I896" s="273">
        <v>98</v>
      </c>
      <c r="J896" s="274">
        <v>28</v>
      </c>
    </row>
    <row r="897" spans="1:47" ht="18" customHeight="1" x14ac:dyDescent="0.35">
      <c r="A897" s="274">
        <f>MATCH(B897,STUDIES!$A$3:$A$502,0)</f>
        <v>63</v>
      </c>
      <c r="B897" s="272" t="s">
        <v>1655</v>
      </c>
      <c r="D897" s="281" t="s">
        <v>148</v>
      </c>
      <c r="E897" s="272" t="s">
        <v>1243</v>
      </c>
      <c r="F897" s="155" t="str">
        <f>_xlfn.XLOOKUP(B897,STUDIES!$A$3:$A$1063,STUDIES!$G$3:$G$1063,"Not Found!")</f>
        <v>BC</v>
      </c>
      <c r="G897" s="273" t="s">
        <v>147</v>
      </c>
      <c r="H897" s="273">
        <v>16</v>
      </c>
      <c r="I897" s="273">
        <v>94</v>
      </c>
      <c r="J897" s="274">
        <v>6</v>
      </c>
    </row>
    <row r="898" spans="1:47" ht="18" customHeight="1" x14ac:dyDescent="0.35">
      <c r="A898" s="274">
        <f>MATCH(B898,STUDIES!$A$3:$A$502,0)</f>
        <v>63</v>
      </c>
      <c r="B898" s="272" t="s">
        <v>1655</v>
      </c>
      <c r="D898" s="281" t="s">
        <v>1096</v>
      </c>
      <c r="E898" s="272" t="s">
        <v>1244</v>
      </c>
      <c r="F898" s="155" t="str">
        <f>_xlfn.XLOOKUP(B898,STUDIES!$A$3:$A$1063,STUDIES!$G$3:$G$1063,"Not Found!")</f>
        <v>BC</v>
      </c>
      <c r="G898" s="273" t="s">
        <v>147</v>
      </c>
      <c r="H898" s="273">
        <v>16</v>
      </c>
      <c r="I898" s="273">
        <v>97</v>
      </c>
      <c r="J898" s="274">
        <v>17</v>
      </c>
    </row>
    <row r="899" spans="1:47" ht="18" customHeight="1" x14ac:dyDescent="0.35">
      <c r="A899" s="274">
        <f>MATCH(B899,STUDIES!$A$3:$A$502,0)</f>
        <v>63</v>
      </c>
      <c r="B899" s="272" t="s">
        <v>1655</v>
      </c>
      <c r="D899" s="281" t="s">
        <v>1274</v>
      </c>
      <c r="E899" s="272" t="s">
        <v>1244</v>
      </c>
      <c r="F899" s="155" t="str">
        <f>_xlfn.XLOOKUP(B899,STUDIES!$A$3:$A$1063,STUDIES!$G$3:$G$1063,"Not Found!")</f>
        <v>BC</v>
      </c>
      <c r="G899" s="273" t="s">
        <v>147</v>
      </c>
      <c r="H899" s="273">
        <v>16</v>
      </c>
      <c r="I899" s="273">
        <v>98</v>
      </c>
      <c r="J899" s="274">
        <v>19</v>
      </c>
    </row>
    <row r="900" spans="1:47" ht="18" customHeight="1" x14ac:dyDescent="0.35">
      <c r="A900" s="274">
        <f>MATCH(B900,STUDIES!$A$3:$A$502,0)</f>
        <v>63</v>
      </c>
      <c r="B900" s="272" t="s">
        <v>1655</v>
      </c>
      <c r="D900" s="281" t="s">
        <v>148</v>
      </c>
      <c r="E900" s="272" t="s">
        <v>1244</v>
      </c>
      <c r="F900" s="155" t="str">
        <f>_xlfn.XLOOKUP(B900,STUDIES!$A$3:$A$1063,STUDIES!$G$3:$G$1063,"Not Found!")</f>
        <v>BC</v>
      </c>
      <c r="G900" s="273" t="s">
        <v>147</v>
      </c>
      <c r="H900" s="273">
        <v>16</v>
      </c>
      <c r="I900" s="273">
        <v>94</v>
      </c>
      <c r="J900" s="274">
        <v>4</v>
      </c>
    </row>
    <row r="901" spans="1:47" ht="18" customHeight="1" x14ac:dyDescent="0.35">
      <c r="A901" s="274">
        <f>MATCH(B901,STUDIES!$A$3:$A$502,0)</f>
        <v>63</v>
      </c>
      <c r="B901" s="272" t="s">
        <v>1655</v>
      </c>
      <c r="D901" s="281" t="s">
        <v>1096</v>
      </c>
      <c r="E901" s="272" t="s">
        <v>1268</v>
      </c>
      <c r="F901" s="155" t="str">
        <f>_xlfn.XLOOKUP(B901,STUDIES!$A$3:$A$1063,STUDIES!$G$3:$G$1063,"Not Found!")</f>
        <v>BC</v>
      </c>
      <c r="G901" s="273" t="s">
        <v>147</v>
      </c>
      <c r="H901" s="273">
        <v>16</v>
      </c>
      <c r="I901" s="273">
        <v>97</v>
      </c>
      <c r="J901" s="274">
        <v>17</v>
      </c>
    </row>
    <row r="902" spans="1:47" ht="18" customHeight="1" x14ac:dyDescent="0.35">
      <c r="A902" s="274">
        <f>MATCH(B902,STUDIES!$A$3:$A$502,0)</f>
        <v>63</v>
      </c>
      <c r="B902" s="272" t="s">
        <v>1655</v>
      </c>
      <c r="D902" s="281" t="s">
        <v>1274</v>
      </c>
      <c r="E902" s="272" t="s">
        <v>1268</v>
      </c>
      <c r="F902" s="155" t="str">
        <f>_xlfn.XLOOKUP(B902,STUDIES!$A$3:$A$1063,STUDIES!$G$3:$G$1063,"Not Found!")</f>
        <v>BC</v>
      </c>
      <c r="G902" s="273" t="s">
        <v>147</v>
      </c>
      <c r="H902" s="273">
        <v>16</v>
      </c>
      <c r="I902" s="273">
        <v>98</v>
      </c>
      <c r="J902" s="274">
        <v>21</v>
      </c>
    </row>
    <row r="903" spans="1:47" ht="18" customHeight="1" x14ac:dyDescent="0.35">
      <c r="A903" s="274">
        <f>MATCH(B903,STUDIES!$A$3:$A$502,0)</f>
        <v>63</v>
      </c>
      <c r="B903" s="272" t="s">
        <v>1655</v>
      </c>
      <c r="D903" s="281" t="s">
        <v>148</v>
      </c>
      <c r="E903" s="272" t="s">
        <v>1268</v>
      </c>
      <c r="F903" s="155" t="str">
        <f>_xlfn.XLOOKUP(B903,STUDIES!$A$3:$A$1063,STUDIES!$G$3:$G$1063,"Not Found!")</f>
        <v>BC</v>
      </c>
      <c r="G903" s="273" t="s">
        <v>147</v>
      </c>
      <c r="H903" s="273">
        <v>16</v>
      </c>
      <c r="I903" s="273">
        <v>94</v>
      </c>
      <c r="J903" s="274">
        <v>4</v>
      </c>
    </row>
    <row r="904" spans="1:47" ht="18" customHeight="1" x14ac:dyDescent="0.35">
      <c r="A904" s="274">
        <f>MATCH(B904,STUDIES!$A$3:$A$502,0)</f>
        <v>63</v>
      </c>
      <c r="B904" s="272" t="s">
        <v>1655</v>
      </c>
      <c r="D904" s="281" t="s">
        <v>1096</v>
      </c>
      <c r="E904" s="272" t="s">
        <v>1163</v>
      </c>
      <c r="F904" s="155" t="str">
        <f>_xlfn.XLOOKUP(B904,STUDIES!$A$3:$A$1063,STUDIES!$G$3:$G$1063,"Not Found!")</f>
        <v>BC</v>
      </c>
      <c r="G904" s="273" t="s">
        <v>147</v>
      </c>
      <c r="H904" s="273">
        <v>16</v>
      </c>
      <c r="I904" s="273">
        <v>97</v>
      </c>
      <c r="J904" s="274">
        <v>1</v>
      </c>
    </row>
    <row r="905" spans="1:47" ht="18" customHeight="1" x14ac:dyDescent="0.35">
      <c r="A905" s="274">
        <f>MATCH(B905,STUDIES!$A$3:$A$502,0)</f>
        <v>63</v>
      </c>
      <c r="B905" s="272" t="s">
        <v>1655</v>
      </c>
      <c r="D905" s="281" t="s">
        <v>1274</v>
      </c>
      <c r="E905" s="272" t="s">
        <v>1163</v>
      </c>
      <c r="F905" s="155" t="str">
        <f>_xlfn.XLOOKUP(B905,STUDIES!$A$3:$A$1063,STUDIES!$G$3:$G$1063,"Not Found!")</f>
        <v>BC</v>
      </c>
      <c r="G905" s="273" t="s">
        <v>147</v>
      </c>
      <c r="H905" s="273">
        <v>16</v>
      </c>
      <c r="I905" s="273">
        <v>98</v>
      </c>
      <c r="J905" s="274">
        <v>3</v>
      </c>
    </row>
    <row r="906" spans="1:47" ht="18" customHeight="1" x14ac:dyDescent="0.35">
      <c r="A906" s="274">
        <f>MATCH(B906,STUDIES!$A$3:$A$502,0)</f>
        <v>63</v>
      </c>
      <c r="B906" s="272" t="s">
        <v>1655</v>
      </c>
      <c r="D906" s="281" t="s">
        <v>148</v>
      </c>
      <c r="E906" s="272" t="s">
        <v>1163</v>
      </c>
      <c r="F906" s="155" t="str">
        <f>_xlfn.XLOOKUP(B906,STUDIES!$A$3:$A$1063,STUDIES!$G$3:$G$1063,"Not Found!")</f>
        <v>BC</v>
      </c>
      <c r="G906" s="273" t="s">
        <v>147</v>
      </c>
      <c r="H906" s="273">
        <v>16</v>
      </c>
      <c r="I906" s="273">
        <v>94</v>
      </c>
      <c r="J906" s="274">
        <v>5</v>
      </c>
    </row>
    <row r="907" spans="1:47" ht="18" customHeight="1" x14ac:dyDescent="0.35">
      <c r="A907" s="274">
        <f>MATCH(B907,STUDIES!$A$3:$A$502,0)</f>
        <v>64</v>
      </c>
      <c r="B907" s="272" t="s">
        <v>1278</v>
      </c>
      <c r="D907" s="281" t="s">
        <v>1292</v>
      </c>
      <c r="E907" s="272" t="s">
        <v>151</v>
      </c>
      <c r="F907" s="155" t="str">
        <f>_xlfn.XLOOKUP(B907,STUDIES!$A$3:$A$1063,STUDIES!$G$3:$G$1063,"Not Found!")</f>
        <v>A</v>
      </c>
      <c r="G907" s="273" t="s">
        <v>147</v>
      </c>
      <c r="H907" s="273">
        <v>12</v>
      </c>
      <c r="I907" s="273">
        <v>35</v>
      </c>
      <c r="K907" s="268">
        <v>30.5</v>
      </c>
      <c r="M907" s="268">
        <v>15.7</v>
      </c>
      <c r="AP907" s="268">
        <v>-31.5</v>
      </c>
      <c r="AS907" s="268">
        <v>-52.6</v>
      </c>
      <c r="AT907" s="268">
        <v>-10.4</v>
      </c>
      <c r="AU907" s="275">
        <v>0.9</v>
      </c>
    </row>
    <row r="908" spans="1:47" ht="18" customHeight="1" x14ac:dyDescent="0.35">
      <c r="A908" s="274">
        <f>MATCH(B908,STUDIES!$A$3:$A$502,0)</f>
        <v>64</v>
      </c>
      <c r="B908" s="272" t="s">
        <v>1278</v>
      </c>
      <c r="D908" s="281" t="s">
        <v>1293</v>
      </c>
      <c r="E908" s="272" t="s">
        <v>151</v>
      </c>
      <c r="F908" s="155" t="str">
        <f>_xlfn.XLOOKUP(B908,STUDIES!$A$3:$A$1063,STUDIES!$G$3:$G$1063,"Not Found!")</f>
        <v>A</v>
      </c>
      <c r="G908" s="273" t="s">
        <v>147</v>
      </c>
      <c r="H908" s="273">
        <v>12</v>
      </c>
      <c r="I908" s="273">
        <v>35</v>
      </c>
      <c r="K908" s="268">
        <v>25.4</v>
      </c>
      <c r="M908" s="268">
        <v>11.3</v>
      </c>
      <c r="AP908" s="268">
        <v>-44.3</v>
      </c>
      <c r="AS908" s="268">
        <v>-64.8</v>
      </c>
      <c r="AT908" s="268">
        <v>-23.8</v>
      </c>
      <c r="AU908" s="275">
        <v>0.9</v>
      </c>
    </row>
    <row r="909" spans="1:47" ht="18" customHeight="1" x14ac:dyDescent="0.35">
      <c r="A909" s="274">
        <f>MATCH(B909,STUDIES!$A$3:$A$502,0)</f>
        <v>64</v>
      </c>
      <c r="B909" s="272" t="s">
        <v>1278</v>
      </c>
      <c r="D909" s="281" t="s">
        <v>148</v>
      </c>
      <c r="E909" s="272" t="s">
        <v>151</v>
      </c>
      <c r="F909" s="155" t="str">
        <f>_xlfn.XLOOKUP(B909,STUDIES!$A$3:$A$1063,STUDIES!$G$3:$G$1063,"Not Found!")</f>
        <v>A</v>
      </c>
      <c r="G909" s="273" t="s">
        <v>147</v>
      </c>
      <c r="H909" s="273">
        <v>12</v>
      </c>
      <c r="I909" s="273">
        <v>35</v>
      </c>
      <c r="K909" s="268">
        <v>28.2</v>
      </c>
      <c r="M909" s="268">
        <v>12.1</v>
      </c>
    </row>
    <row r="910" spans="1:47" ht="18" customHeight="1" x14ac:dyDescent="0.35">
      <c r="A910" s="274">
        <f>MATCH(B910,STUDIES!$A$3:$A$502,0)</f>
        <v>64</v>
      </c>
      <c r="B910" s="272" t="s">
        <v>1278</v>
      </c>
      <c r="D910" s="281" t="s">
        <v>1292</v>
      </c>
      <c r="E910" s="272" t="s">
        <v>154</v>
      </c>
      <c r="F910" s="155" t="str">
        <f>_xlfn.XLOOKUP(B910,STUDIES!$A$3:$A$1063,STUDIES!$G$3:$G$1063,"Not Found!")</f>
        <v>A</v>
      </c>
      <c r="G910" s="273" t="s">
        <v>147</v>
      </c>
      <c r="H910" s="273">
        <v>12</v>
      </c>
      <c r="I910" s="273">
        <v>35</v>
      </c>
      <c r="K910" s="268">
        <v>16.3</v>
      </c>
      <c r="M910" s="268">
        <v>7.7</v>
      </c>
      <c r="Q910" s="275"/>
      <c r="R910" s="276"/>
      <c r="AD910" s="276">
        <v>-1.3</v>
      </c>
      <c r="AG910" s="268">
        <v>-4.0999999999999996</v>
      </c>
      <c r="AH910" s="268">
        <v>1.4</v>
      </c>
      <c r="AI910" s="268">
        <v>0.9</v>
      </c>
    </row>
    <row r="911" spans="1:47" ht="18" customHeight="1" x14ac:dyDescent="0.35">
      <c r="A911" s="274">
        <f>MATCH(B911,STUDIES!$A$3:$A$502,0)</f>
        <v>64</v>
      </c>
      <c r="B911" s="272" t="s">
        <v>1278</v>
      </c>
      <c r="D911" s="281" t="s">
        <v>1293</v>
      </c>
      <c r="E911" s="272" t="s">
        <v>154</v>
      </c>
      <c r="F911" s="155" t="str">
        <f>_xlfn.XLOOKUP(B911,STUDIES!$A$3:$A$1063,STUDIES!$G$3:$G$1063,"Not Found!")</f>
        <v>A</v>
      </c>
      <c r="G911" s="273" t="s">
        <v>147</v>
      </c>
      <c r="H911" s="273">
        <v>12</v>
      </c>
      <c r="I911" s="273">
        <v>35</v>
      </c>
      <c r="K911" s="268">
        <v>15.6</v>
      </c>
      <c r="M911" s="268">
        <v>7</v>
      </c>
      <c r="Q911" s="275"/>
      <c r="R911" s="276"/>
      <c r="AD911" s="276">
        <v>-4.7</v>
      </c>
      <c r="AG911" s="268">
        <v>-7.4</v>
      </c>
      <c r="AH911" s="268">
        <v>-2</v>
      </c>
      <c r="AI911" s="268">
        <v>0.9</v>
      </c>
    </row>
    <row r="912" spans="1:47" ht="18" customHeight="1" x14ac:dyDescent="0.35">
      <c r="A912" s="274">
        <f>MATCH(B912,STUDIES!$A$3:$A$502,0)</f>
        <v>64</v>
      </c>
      <c r="B912" s="272" t="s">
        <v>1278</v>
      </c>
      <c r="D912" s="281" t="s">
        <v>148</v>
      </c>
      <c r="E912" s="272" t="s">
        <v>154</v>
      </c>
      <c r="F912" s="155" t="str">
        <f>_xlfn.XLOOKUP(B912,STUDIES!$A$3:$A$1063,STUDIES!$G$3:$G$1063,"Not Found!")</f>
        <v>A</v>
      </c>
      <c r="G912" s="273" t="s">
        <v>147</v>
      </c>
      <c r="H912" s="273">
        <v>12</v>
      </c>
      <c r="I912" s="273">
        <v>35</v>
      </c>
      <c r="K912" s="268">
        <v>15.3</v>
      </c>
      <c r="M912" s="268">
        <v>7.2</v>
      </c>
      <c r="Q912" s="275"/>
      <c r="R912" s="276"/>
    </row>
    <row r="913" spans="1:47" ht="18" customHeight="1" x14ac:dyDescent="0.35">
      <c r="A913" s="274">
        <f>MATCH(B913,STUDIES!$A$3:$A$502,0)</f>
        <v>64</v>
      </c>
      <c r="B913" s="272" t="s">
        <v>1278</v>
      </c>
      <c r="D913" s="281" t="s">
        <v>1292</v>
      </c>
      <c r="E913" s="272" t="s">
        <v>348</v>
      </c>
      <c r="F913" s="155" t="str">
        <f>_xlfn.XLOOKUP(B913,STUDIES!$A$3:$A$1063,STUDIES!$G$3:$G$1063,"Not Found!")</f>
        <v>A</v>
      </c>
      <c r="G913" s="273" t="s">
        <v>147</v>
      </c>
      <c r="H913" s="273">
        <v>12</v>
      </c>
      <c r="I913" s="273">
        <v>35</v>
      </c>
      <c r="K913" s="268">
        <v>7.9</v>
      </c>
      <c r="M913" s="268">
        <v>1.7</v>
      </c>
      <c r="AP913" s="268">
        <v>-29.2</v>
      </c>
      <c r="AS913" s="268">
        <v>-44.7</v>
      </c>
      <c r="AT913" s="268">
        <v>-13.6</v>
      </c>
      <c r="AU913" s="275">
        <v>0.9</v>
      </c>
    </row>
    <row r="914" spans="1:47" ht="18" customHeight="1" x14ac:dyDescent="0.35">
      <c r="A914" s="274">
        <f>MATCH(B914,STUDIES!$A$3:$A$502,0)</f>
        <v>64</v>
      </c>
      <c r="B914" s="272" t="s">
        <v>1278</v>
      </c>
      <c r="D914" s="281" t="s">
        <v>1293</v>
      </c>
      <c r="E914" s="272" t="s">
        <v>348</v>
      </c>
      <c r="F914" s="155" t="str">
        <f>_xlfn.XLOOKUP(B914,STUDIES!$A$3:$A$1063,STUDIES!$G$3:$G$1063,"Not Found!")</f>
        <v>A</v>
      </c>
      <c r="G914" s="273" t="s">
        <v>147</v>
      </c>
      <c r="H914" s="273">
        <v>12</v>
      </c>
      <c r="I914" s="273">
        <v>35</v>
      </c>
      <c r="K914" s="268">
        <v>7.1</v>
      </c>
      <c r="M914" s="268">
        <v>1.8</v>
      </c>
      <c r="AP914" s="268">
        <v>-34.700000000000003</v>
      </c>
      <c r="AS914" s="268">
        <v>-49.8</v>
      </c>
      <c r="AT914" s="268">
        <v>-19.600000000000001</v>
      </c>
      <c r="AU914" s="275">
        <v>0.9</v>
      </c>
    </row>
    <row r="915" spans="1:47" ht="18" customHeight="1" x14ac:dyDescent="0.35">
      <c r="A915" s="274">
        <f>MATCH(B915,STUDIES!$A$3:$A$502,0)</f>
        <v>64</v>
      </c>
      <c r="B915" s="272" t="s">
        <v>1278</v>
      </c>
      <c r="D915" s="281" t="s">
        <v>148</v>
      </c>
      <c r="E915" s="272" t="s">
        <v>348</v>
      </c>
      <c r="F915" s="155" t="str">
        <f>_xlfn.XLOOKUP(B915,STUDIES!$A$3:$A$1063,STUDIES!$G$3:$G$1063,"Not Found!")</f>
        <v>A</v>
      </c>
      <c r="G915" s="273" t="s">
        <v>147</v>
      </c>
      <c r="H915" s="273">
        <v>12</v>
      </c>
      <c r="I915" s="273">
        <v>35</v>
      </c>
      <c r="K915" s="268">
        <v>7.3</v>
      </c>
      <c r="M915" s="268">
        <v>2.2999999999999998</v>
      </c>
    </row>
    <row r="916" spans="1:47" ht="18" customHeight="1" x14ac:dyDescent="0.35">
      <c r="A916" s="274">
        <f>MATCH(B916,STUDIES!$A$3:$A$502,0)</f>
        <v>64</v>
      </c>
      <c r="B916" s="272" t="s">
        <v>1278</v>
      </c>
      <c r="D916" s="281" t="s">
        <v>1292</v>
      </c>
      <c r="E916" s="272" t="s">
        <v>1258</v>
      </c>
      <c r="F916" s="155" t="str">
        <f>_xlfn.XLOOKUP(B916,STUDIES!$A$3:$A$1063,STUDIES!$G$3:$G$1063,"Not Found!")</f>
        <v>A</v>
      </c>
      <c r="G916" s="273" t="s">
        <v>147</v>
      </c>
      <c r="H916" s="273">
        <v>12</v>
      </c>
      <c r="I916" s="273">
        <v>35</v>
      </c>
      <c r="J916" s="274">
        <v>24</v>
      </c>
    </row>
    <row r="917" spans="1:47" ht="18" customHeight="1" x14ac:dyDescent="0.35">
      <c r="A917" s="274">
        <f>MATCH(B917,STUDIES!$A$3:$A$502,0)</f>
        <v>64</v>
      </c>
      <c r="B917" s="272" t="s">
        <v>1278</v>
      </c>
      <c r="D917" s="281" t="s">
        <v>1293</v>
      </c>
      <c r="E917" s="272" t="s">
        <v>1258</v>
      </c>
      <c r="F917" s="155" t="str">
        <f>_xlfn.XLOOKUP(B917,STUDIES!$A$3:$A$1063,STUDIES!$G$3:$G$1063,"Not Found!")</f>
        <v>A</v>
      </c>
      <c r="G917" s="273" t="s">
        <v>147</v>
      </c>
      <c r="H917" s="273">
        <v>12</v>
      </c>
      <c r="I917" s="273">
        <v>35</v>
      </c>
      <c r="J917" s="274">
        <v>29</v>
      </c>
    </row>
    <row r="918" spans="1:47" ht="18" customHeight="1" x14ac:dyDescent="0.35">
      <c r="A918" s="274">
        <f>MATCH(B918,STUDIES!$A$3:$A$502,0)</f>
        <v>64</v>
      </c>
      <c r="B918" s="272" t="s">
        <v>1278</v>
      </c>
      <c r="D918" s="281" t="s">
        <v>148</v>
      </c>
      <c r="E918" s="272" t="s">
        <v>1258</v>
      </c>
      <c r="F918" s="155" t="str">
        <f>_xlfn.XLOOKUP(B918,STUDIES!$A$3:$A$1063,STUDIES!$G$3:$G$1063,"Not Found!")</f>
        <v>A</v>
      </c>
      <c r="G918" s="273" t="s">
        <v>147</v>
      </c>
      <c r="H918" s="273">
        <v>12</v>
      </c>
      <c r="I918" s="273">
        <v>35</v>
      </c>
      <c r="J918" s="274">
        <v>15</v>
      </c>
    </row>
    <row r="919" spans="1:47" ht="18" customHeight="1" x14ac:dyDescent="0.35">
      <c r="A919" s="274">
        <f>MATCH(B919,STUDIES!$A$3:$A$502,0)</f>
        <v>64</v>
      </c>
      <c r="B919" s="272" t="s">
        <v>1278</v>
      </c>
      <c r="D919" s="281" t="s">
        <v>1292</v>
      </c>
      <c r="E919" s="272" t="s">
        <v>1243</v>
      </c>
      <c r="F919" s="155" t="str">
        <f>_xlfn.XLOOKUP(B919,STUDIES!$A$3:$A$1063,STUDIES!$G$3:$G$1063,"Not Found!")</f>
        <v>A</v>
      </c>
      <c r="G919" s="273" t="s">
        <v>147</v>
      </c>
      <c r="H919" s="273">
        <v>12</v>
      </c>
      <c r="I919" s="273">
        <v>35</v>
      </c>
      <c r="J919" s="274">
        <v>18</v>
      </c>
    </row>
    <row r="920" spans="1:47" ht="18" customHeight="1" x14ac:dyDescent="0.35">
      <c r="A920" s="274">
        <f>MATCH(B920,STUDIES!$A$3:$A$502,0)</f>
        <v>64</v>
      </c>
      <c r="B920" s="272" t="s">
        <v>1278</v>
      </c>
      <c r="D920" s="281" t="s">
        <v>1293</v>
      </c>
      <c r="E920" s="272" t="s">
        <v>1243</v>
      </c>
      <c r="F920" s="155" t="str">
        <f>_xlfn.XLOOKUP(B920,STUDIES!$A$3:$A$1063,STUDIES!$G$3:$G$1063,"Not Found!")</f>
        <v>A</v>
      </c>
      <c r="G920" s="273" t="s">
        <v>147</v>
      </c>
      <c r="H920" s="273">
        <v>12</v>
      </c>
      <c r="I920" s="273">
        <v>35</v>
      </c>
      <c r="J920" s="274">
        <v>26</v>
      </c>
    </row>
    <row r="921" spans="1:47" ht="18" customHeight="1" x14ac:dyDescent="0.35">
      <c r="A921" s="274">
        <f>MATCH(B921,STUDIES!$A$3:$A$502,0)</f>
        <v>64</v>
      </c>
      <c r="B921" s="272" t="s">
        <v>1278</v>
      </c>
      <c r="D921" s="281" t="s">
        <v>148</v>
      </c>
      <c r="E921" s="272" t="s">
        <v>1243</v>
      </c>
      <c r="F921" s="155" t="str">
        <f>_xlfn.XLOOKUP(B921,STUDIES!$A$3:$A$1063,STUDIES!$G$3:$G$1063,"Not Found!")</f>
        <v>A</v>
      </c>
      <c r="G921" s="273" t="s">
        <v>147</v>
      </c>
      <c r="H921" s="273">
        <v>12</v>
      </c>
      <c r="I921" s="273">
        <v>35</v>
      </c>
      <c r="J921" s="274">
        <v>8</v>
      </c>
    </row>
    <row r="922" spans="1:47" ht="18" customHeight="1" x14ac:dyDescent="0.35">
      <c r="A922" s="274">
        <f>MATCH(B922,STUDIES!$A$3:$A$502,0)</f>
        <v>64</v>
      </c>
      <c r="B922" s="272" t="s">
        <v>1278</v>
      </c>
      <c r="D922" s="281" t="s">
        <v>1292</v>
      </c>
      <c r="E922" s="272" t="s">
        <v>1244</v>
      </c>
      <c r="F922" s="155" t="str">
        <f>_xlfn.XLOOKUP(B922,STUDIES!$A$3:$A$1063,STUDIES!$G$3:$G$1063,"Not Found!")</f>
        <v>A</v>
      </c>
      <c r="G922" s="273" t="s">
        <v>147</v>
      </c>
      <c r="H922" s="273">
        <v>12</v>
      </c>
      <c r="I922" s="273">
        <v>35</v>
      </c>
      <c r="J922" s="274">
        <v>11</v>
      </c>
    </row>
    <row r="923" spans="1:47" ht="18" customHeight="1" x14ac:dyDescent="0.35">
      <c r="A923" s="274">
        <f>MATCH(B923,STUDIES!$A$3:$A$502,0)</f>
        <v>64</v>
      </c>
      <c r="B923" s="272" t="s">
        <v>1278</v>
      </c>
      <c r="D923" s="281" t="s">
        <v>1293</v>
      </c>
      <c r="E923" s="272" t="s">
        <v>1244</v>
      </c>
      <c r="F923" s="155" t="str">
        <f>_xlfn.XLOOKUP(B923,STUDIES!$A$3:$A$1063,STUDIES!$G$3:$G$1063,"Not Found!")</f>
        <v>A</v>
      </c>
      <c r="G923" s="273" t="s">
        <v>147</v>
      </c>
      <c r="H923" s="273">
        <v>12</v>
      </c>
      <c r="I923" s="273">
        <v>35</v>
      </c>
      <c r="J923" s="274">
        <v>16</v>
      </c>
    </row>
    <row r="924" spans="1:47" ht="18" customHeight="1" x14ac:dyDescent="0.35">
      <c r="A924" s="274">
        <f>MATCH(B924,STUDIES!$A$3:$A$502,0)</f>
        <v>64</v>
      </c>
      <c r="B924" s="272" t="s">
        <v>1278</v>
      </c>
      <c r="D924" s="281" t="s">
        <v>148</v>
      </c>
      <c r="E924" s="272" t="s">
        <v>1244</v>
      </c>
      <c r="F924" s="155" t="str">
        <f>_xlfn.XLOOKUP(B924,STUDIES!$A$3:$A$1063,STUDIES!$G$3:$G$1063,"Not Found!")</f>
        <v>A</v>
      </c>
      <c r="G924" s="273" t="s">
        <v>147</v>
      </c>
      <c r="H924" s="273">
        <v>12</v>
      </c>
      <c r="I924" s="273">
        <v>35</v>
      </c>
      <c r="J924" s="274">
        <v>3</v>
      </c>
    </row>
    <row r="925" spans="1:47" ht="18" customHeight="1" x14ac:dyDescent="0.35">
      <c r="A925" s="274">
        <f>MATCH(B925,STUDIES!$A$3:$A$502,0)</f>
        <v>64</v>
      </c>
      <c r="B925" s="272" t="s">
        <v>1278</v>
      </c>
      <c r="D925" s="281" t="s">
        <v>1292</v>
      </c>
      <c r="E925" s="272" t="s">
        <v>1268</v>
      </c>
      <c r="F925" s="155" t="str">
        <f>_xlfn.XLOOKUP(B925,STUDIES!$A$3:$A$1063,STUDIES!$G$3:$G$1063,"Not Found!")</f>
        <v>A</v>
      </c>
      <c r="G925" s="273" t="s">
        <v>147</v>
      </c>
      <c r="H925" s="273">
        <v>12</v>
      </c>
      <c r="I925" s="273">
        <v>35</v>
      </c>
      <c r="J925" s="274">
        <v>9</v>
      </c>
    </row>
    <row r="926" spans="1:47" ht="18" customHeight="1" x14ac:dyDescent="0.35">
      <c r="A926" s="274">
        <f>MATCH(B926,STUDIES!$A$3:$A$502,0)</f>
        <v>64</v>
      </c>
      <c r="B926" s="272" t="s">
        <v>1278</v>
      </c>
      <c r="D926" s="281" t="s">
        <v>1293</v>
      </c>
      <c r="E926" s="272" t="s">
        <v>1268</v>
      </c>
      <c r="F926" s="155" t="str">
        <f>_xlfn.XLOOKUP(B926,STUDIES!$A$3:$A$1063,STUDIES!$G$3:$G$1063,"Not Found!")</f>
        <v>A</v>
      </c>
      <c r="G926" s="273" t="s">
        <v>147</v>
      </c>
      <c r="H926" s="273">
        <v>12</v>
      </c>
      <c r="I926" s="273">
        <v>35</v>
      </c>
      <c r="J926" s="274">
        <v>19</v>
      </c>
    </row>
    <row r="927" spans="1:47" ht="18" customHeight="1" x14ac:dyDescent="0.35">
      <c r="A927" s="274">
        <f>MATCH(B927,STUDIES!$A$3:$A$502,0)</f>
        <v>64</v>
      </c>
      <c r="B927" s="272" t="s">
        <v>1278</v>
      </c>
      <c r="D927" s="281" t="s">
        <v>148</v>
      </c>
      <c r="E927" s="272" t="s">
        <v>1268</v>
      </c>
      <c r="F927" s="155" t="str">
        <f>_xlfn.XLOOKUP(B927,STUDIES!$A$3:$A$1063,STUDIES!$G$3:$G$1063,"Not Found!")</f>
        <v>A</v>
      </c>
      <c r="G927" s="273" t="s">
        <v>147</v>
      </c>
      <c r="H927" s="273">
        <v>12</v>
      </c>
      <c r="I927" s="273">
        <v>35</v>
      </c>
      <c r="J927" s="274">
        <v>2</v>
      </c>
    </row>
    <row r="928" spans="1:47" ht="18" customHeight="1" x14ac:dyDescent="0.35">
      <c r="A928" s="274">
        <f>MATCH(B928,STUDIES!$A$3:$A$502,0)</f>
        <v>64</v>
      </c>
      <c r="B928" s="272" t="s">
        <v>1278</v>
      </c>
      <c r="D928" s="281" t="s">
        <v>1292</v>
      </c>
      <c r="E928" s="272" t="s">
        <v>1163</v>
      </c>
      <c r="F928" s="155" t="str">
        <f>_xlfn.XLOOKUP(B928,STUDIES!$A$3:$A$1063,STUDIES!$G$3:$G$1063,"Not Found!")</f>
        <v>A</v>
      </c>
      <c r="G928" s="273" t="s">
        <v>147</v>
      </c>
      <c r="H928" s="273">
        <v>12</v>
      </c>
      <c r="I928" s="273">
        <v>35</v>
      </c>
      <c r="J928" s="274">
        <v>2</v>
      </c>
    </row>
    <row r="929" spans="1:37" ht="18" customHeight="1" x14ac:dyDescent="0.35">
      <c r="A929" s="274">
        <f>MATCH(B929,STUDIES!$A$3:$A$502,0)</f>
        <v>64</v>
      </c>
      <c r="B929" s="272" t="s">
        <v>1278</v>
      </c>
      <c r="D929" s="281" t="s">
        <v>1293</v>
      </c>
      <c r="E929" s="272" t="s">
        <v>1163</v>
      </c>
      <c r="F929" s="155" t="str">
        <f>_xlfn.XLOOKUP(B929,STUDIES!$A$3:$A$1063,STUDIES!$G$3:$G$1063,"Not Found!")</f>
        <v>A</v>
      </c>
      <c r="G929" s="273" t="s">
        <v>147</v>
      </c>
      <c r="H929" s="273">
        <v>12</v>
      </c>
      <c r="I929" s="273">
        <v>35</v>
      </c>
      <c r="J929" s="274">
        <v>1</v>
      </c>
    </row>
    <row r="930" spans="1:37" ht="18" customHeight="1" x14ac:dyDescent="0.35">
      <c r="A930" s="274">
        <f>MATCH(B930,STUDIES!$A$3:$A$502,0)</f>
        <v>64</v>
      </c>
      <c r="B930" s="272" t="s">
        <v>1278</v>
      </c>
      <c r="D930" s="281" t="s">
        <v>148</v>
      </c>
      <c r="E930" s="272" t="s">
        <v>1163</v>
      </c>
      <c r="F930" s="155" t="str">
        <f>_xlfn.XLOOKUP(B930,STUDIES!$A$3:$A$1063,STUDIES!$G$3:$G$1063,"Not Found!")</f>
        <v>A</v>
      </c>
      <c r="G930" s="273" t="s">
        <v>147</v>
      </c>
      <c r="H930" s="273">
        <v>12</v>
      </c>
      <c r="I930" s="273">
        <v>35</v>
      </c>
      <c r="J930" s="274">
        <v>0</v>
      </c>
    </row>
    <row r="931" spans="1:37" ht="18" customHeight="1" x14ac:dyDescent="0.35">
      <c r="A931" s="274">
        <f>MATCH(B931,STUDIES!$A$3:$A$502,0)</f>
        <v>64</v>
      </c>
      <c r="B931" s="272" t="s">
        <v>1278</v>
      </c>
      <c r="D931" s="281" t="s">
        <v>1292</v>
      </c>
      <c r="E931" s="272" t="s">
        <v>1167</v>
      </c>
      <c r="F931" s="155" t="str">
        <f>_xlfn.XLOOKUP(B931,STUDIES!$A$3:$A$1063,STUDIES!$G$3:$G$1063,"Not Found!")</f>
        <v>A</v>
      </c>
      <c r="G931" s="273" t="s">
        <v>147</v>
      </c>
      <c r="H931" s="273">
        <v>12</v>
      </c>
      <c r="I931" s="273">
        <v>35</v>
      </c>
      <c r="J931" s="274">
        <v>3</v>
      </c>
    </row>
    <row r="932" spans="1:37" ht="18" customHeight="1" x14ac:dyDescent="0.35">
      <c r="A932" s="274">
        <f>MATCH(B932,STUDIES!$A$3:$A$502,0)</f>
        <v>64</v>
      </c>
      <c r="B932" s="272" t="s">
        <v>1278</v>
      </c>
      <c r="D932" s="281" t="s">
        <v>1293</v>
      </c>
      <c r="E932" s="272" t="s">
        <v>1167</v>
      </c>
      <c r="F932" s="155" t="str">
        <f>_xlfn.XLOOKUP(B932,STUDIES!$A$3:$A$1063,STUDIES!$G$3:$G$1063,"Not Found!")</f>
        <v>A</v>
      </c>
      <c r="G932" s="273" t="s">
        <v>147</v>
      </c>
      <c r="H932" s="273">
        <v>12</v>
      </c>
      <c r="I932" s="273">
        <v>35</v>
      </c>
      <c r="J932" s="274">
        <v>1</v>
      </c>
    </row>
    <row r="933" spans="1:37" ht="18" customHeight="1" x14ac:dyDescent="0.35">
      <c r="A933" s="274">
        <f>MATCH(B933,STUDIES!$A$3:$A$502,0)</f>
        <v>64</v>
      </c>
      <c r="B933" s="272" t="s">
        <v>1278</v>
      </c>
      <c r="D933" s="281" t="s">
        <v>148</v>
      </c>
      <c r="E933" s="272" t="s">
        <v>1167</v>
      </c>
      <c r="F933" s="155" t="str">
        <f>_xlfn.XLOOKUP(B933,STUDIES!$A$3:$A$1063,STUDIES!$G$3:$G$1063,"Not Found!")</f>
        <v>A</v>
      </c>
      <c r="G933" s="273" t="s">
        <v>147</v>
      </c>
      <c r="H933" s="273">
        <v>12</v>
      </c>
      <c r="I933" s="273">
        <v>35</v>
      </c>
      <c r="J933" s="274">
        <v>1</v>
      </c>
    </row>
    <row r="934" spans="1:37" ht="18" customHeight="1" x14ac:dyDescent="0.35">
      <c r="A934" s="274">
        <f>MATCH(B934,STUDIES!$A$3:$A$502,0)</f>
        <v>65</v>
      </c>
      <c r="B934" s="86" t="s">
        <v>1625</v>
      </c>
      <c r="C934" s="465"/>
      <c r="D934" s="232" t="s">
        <v>148</v>
      </c>
      <c r="E934" s="272" t="s">
        <v>1243</v>
      </c>
      <c r="F934" s="155" t="str">
        <f>_xlfn.XLOOKUP(B934,STUDIES!$A$3:$A$1063,STUDIES!$G$3:$G$1063,"Not Found!")</f>
        <v>A</v>
      </c>
      <c r="G934" s="273" t="s">
        <v>147</v>
      </c>
      <c r="H934" s="273">
        <v>16</v>
      </c>
      <c r="I934" s="273">
        <v>34</v>
      </c>
      <c r="J934" s="274">
        <f>0.118*34</f>
        <v>4.0119999999999996</v>
      </c>
    </row>
    <row r="935" spans="1:37" ht="18" customHeight="1" x14ac:dyDescent="0.35">
      <c r="A935" s="274">
        <f>MATCH(B935,STUDIES!$A$3:$A$502,0)</f>
        <v>65</v>
      </c>
      <c r="B935" s="86" t="s">
        <v>1625</v>
      </c>
      <c r="C935" s="466"/>
      <c r="D935" s="352" t="s">
        <v>1302</v>
      </c>
      <c r="E935" s="272" t="s">
        <v>1243</v>
      </c>
      <c r="F935" s="155" t="str">
        <f>_xlfn.XLOOKUP(B935,STUDIES!$A$3:$A$1063,STUDIES!$G$3:$G$1063,"Not Found!")</f>
        <v>A</v>
      </c>
      <c r="G935" s="273" t="s">
        <v>147</v>
      </c>
      <c r="H935" s="273">
        <v>16</v>
      </c>
      <c r="I935" s="273">
        <v>69</v>
      </c>
      <c r="J935" s="274">
        <f>0.246*69</f>
        <v>16.974</v>
      </c>
    </row>
    <row r="936" spans="1:37" ht="18" customHeight="1" x14ac:dyDescent="0.35">
      <c r="A936" s="274">
        <f>MATCH(B936,STUDIES!$A$3:$A$502,0)</f>
        <v>65</v>
      </c>
      <c r="B936" s="86" t="s">
        <v>1625</v>
      </c>
      <c r="C936" s="466"/>
      <c r="D936" s="352" t="s">
        <v>1303</v>
      </c>
      <c r="E936" s="272" t="s">
        <v>1243</v>
      </c>
      <c r="F936" s="155" t="str">
        <f>_xlfn.XLOOKUP(B936,STUDIES!$A$3:$A$1063,STUDIES!$G$3:$G$1063,"Not Found!")</f>
        <v>A</v>
      </c>
      <c r="G936" s="273" t="s">
        <v>147</v>
      </c>
      <c r="H936" s="273">
        <v>16</v>
      </c>
      <c r="I936" s="273">
        <v>69</v>
      </c>
      <c r="J936" s="274">
        <f>0.217*69</f>
        <v>14.973000000000001</v>
      </c>
    </row>
    <row r="937" spans="1:37" ht="18" customHeight="1" x14ac:dyDescent="0.35">
      <c r="A937" s="274">
        <f>MATCH(B937,STUDIES!$A$3:$A$502,0)</f>
        <v>65</v>
      </c>
      <c r="B937" s="86" t="s">
        <v>1625</v>
      </c>
      <c r="C937" s="465"/>
      <c r="D937" s="232" t="s">
        <v>148</v>
      </c>
      <c r="E937" s="272" t="s">
        <v>1268</v>
      </c>
      <c r="F937" s="155" t="str">
        <f>_xlfn.XLOOKUP(B937,STUDIES!$A$3:$A$1063,STUDIES!$G$3:$G$1063,"Not Found!")</f>
        <v>A</v>
      </c>
      <c r="G937" s="273" t="s">
        <v>147</v>
      </c>
      <c r="H937" s="273">
        <v>16</v>
      </c>
      <c r="I937" s="273">
        <v>34</v>
      </c>
      <c r="J937" s="274">
        <f>0.059*34</f>
        <v>2.0059999999999998</v>
      </c>
    </row>
    <row r="938" spans="1:37" ht="18" customHeight="1" x14ac:dyDescent="0.35">
      <c r="A938" s="274">
        <f>MATCH(B938,STUDIES!$A$3:$A$502,0)</f>
        <v>65</v>
      </c>
      <c r="B938" s="86" t="s">
        <v>1625</v>
      </c>
      <c r="C938" s="466"/>
      <c r="D938" s="352" t="s">
        <v>1302</v>
      </c>
      <c r="E938" s="272" t="s">
        <v>1268</v>
      </c>
      <c r="F938" s="155" t="str">
        <f>_xlfn.XLOOKUP(B938,STUDIES!$A$3:$A$1063,STUDIES!$G$3:$G$1063,"Not Found!")</f>
        <v>A</v>
      </c>
      <c r="G938" s="273" t="s">
        <v>147</v>
      </c>
      <c r="H938" s="273">
        <v>16</v>
      </c>
      <c r="I938" s="273">
        <v>69</v>
      </c>
      <c r="J938" s="274">
        <f>0.145*69</f>
        <v>10.004999999999999</v>
      </c>
    </row>
    <row r="939" spans="1:37" ht="18" customHeight="1" x14ac:dyDescent="0.35">
      <c r="A939" s="274">
        <f>MATCH(B939,STUDIES!$A$3:$A$502,0)</f>
        <v>65</v>
      </c>
      <c r="B939" s="86" t="s">
        <v>1625</v>
      </c>
      <c r="C939" s="466"/>
      <c r="D939" s="352" t="s">
        <v>1303</v>
      </c>
      <c r="E939" s="272" t="s">
        <v>1268</v>
      </c>
      <c r="F939" s="155" t="str">
        <f>_xlfn.XLOOKUP(B939,STUDIES!$A$3:$A$1063,STUDIES!$G$3:$G$1063,"Not Found!")</f>
        <v>A</v>
      </c>
      <c r="G939" s="273" t="s">
        <v>147</v>
      </c>
      <c r="H939" s="273">
        <v>16</v>
      </c>
      <c r="I939" s="273">
        <v>69</v>
      </c>
      <c r="J939" s="274">
        <f>0.058*69</f>
        <v>4.0019999999999998</v>
      </c>
    </row>
    <row r="940" spans="1:37" ht="18" customHeight="1" x14ac:dyDescent="0.35">
      <c r="A940" s="274">
        <f>MATCH(B940,STUDIES!$A$3:$A$502,0)</f>
        <v>65</v>
      </c>
      <c r="B940" s="86" t="s">
        <v>1625</v>
      </c>
      <c r="C940" s="465"/>
      <c r="D940" s="232" t="s">
        <v>148</v>
      </c>
      <c r="E940" s="272" t="s">
        <v>151</v>
      </c>
      <c r="F940" s="155" t="str">
        <f>_xlfn.XLOOKUP(B940,STUDIES!$A$3:$A$1063,STUDIES!$G$3:$G$1063,"Not Found!")</f>
        <v>A</v>
      </c>
      <c r="G940" s="273" t="s">
        <v>147</v>
      </c>
      <c r="H940" s="273">
        <v>16</v>
      </c>
      <c r="I940" s="273">
        <v>17</v>
      </c>
      <c r="K940" s="268">
        <v>30.85</v>
      </c>
      <c r="M940" s="268">
        <v>12.345000000000001</v>
      </c>
      <c r="AJ940" s="276">
        <v>-28.54</v>
      </c>
      <c r="AK940" s="268">
        <v>9.3780000000000001</v>
      </c>
    </row>
    <row r="941" spans="1:37" ht="18" customHeight="1" x14ac:dyDescent="0.35">
      <c r="A941" s="274">
        <f>MATCH(B941,STUDIES!$A$3:$A$502,0)</f>
        <v>65</v>
      </c>
      <c r="B941" s="86" t="s">
        <v>1625</v>
      </c>
      <c r="C941" s="466"/>
      <c r="D941" s="352" t="s">
        <v>1302</v>
      </c>
      <c r="E941" s="272" t="s">
        <v>151</v>
      </c>
      <c r="F941" s="155" t="str">
        <f>_xlfn.XLOOKUP(B941,STUDIES!$A$3:$A$1063,STUDIES!$G$3:$G$1063,"Not Found!")</f>
        <v>A</v>
      </c>
      <c r="G941" s="273" t="s">
        <v>147</v>
      </c>
      <c r="H941" s="273">
        <v>16</v>
      </c>
      <c r="I941" s="273">
        <v>51</v>
      </c>
      <c r="K941" s="268">
        <v>31.06</v>
      </c>
      <c r="M941" s="268">
        <v>13.994999999999999</v>
      </c>
      <c r="AJ941" s="276">
        <v>-38.86</v>
      </c>
      <c r="AK941" s="268">
        <v>5.9889999999999999</v>
      </c>
    </row>
    <row r="942" spans="1:37" ht="18" customHeight="1" x14ac:dyDescent="0.35">
      <c r="A942" s="274">
        <f>MATCH(B942,STUDIES!$A$3:$A$502,0)</f>
        <v>65</v>
      </c>
      <c r="B942" s="86" t="s">
        <v>1625</v>
      </c>
      <c r="C942" s="466"/>
      <c r="D942" s="352" t="s">
        <v>1303</v>
      </c>
      <c r="E942" s="272" t="s">
        <v>151</v>
      </c>
      <c r="F942" s="155" t="str">
        <f>_xlfn.XLOOKUP(B942,STUDIES!$A$3:$A$1063,STUDIES!$G$3:$G$1063,"Not Found!")</f>
        <v>A</v>
      </c>
      <c r="G942" s="273" t="s">
        <v>147</v>
      </c>
      <c r="H942" s="273">
        <v>16</v>
      </c>
      <c r="I942" s="273">
        <v>43</v>
      </c>
      <c r="K942" s="268">
        <v>28.7</v>
      </c>
      <c r="M942" s="268">
        <v>11.247</v>
      </c>
      <c r="AJ942" s="276">
        <v>-45.39</v>
      </c>
      <c r="AK942" s="268">
        <v>6.351</v>
      </c>
    </row>
    <row r="943" spans="1:37" ht="18" customHeight="1" x14ac:dyDescent="0.35">
      <c r="A943" s="274">
        <f>MATCH(B943,STUDIES!$A$3:$A$502,0)</f>
        <v>65</v>
      </c>
      <c r="B943" s="86" t="s">
        <v>1625</v>
      </c>
      <c r="C943" s="465"/>
      <c r="D943" s="232" t="s">
        <v>148</v>
      </c>
      <c r="E943" s="272" t="s">
        <v>1258</v>
      </c>
      <c r="F943" s="155" t="str">
        <f>_xlfn.XLOOKUP(B943,STUDIES!$A$3:$A$1063,STUDIES!$G$3:$G$1063,"Not Found!")</f>
        <v>A</v>
      </c>
      <c r="G943" s="273" t="s">
        <v>147</v>
      </c>
      <c r="H943" s="273">
        <v>16</v>
      </c>
      <c r="I943" s="273">
        <v>34</v>
      </c>
      <c r="J943" s="274">
        <f>0.294*34</f>
        <v>9.9959999999999987</v>
      </c>
    </row>
    <row r="944" spans="1:37" ht="18" customHeight="1" x14ac:dyDescent="0.35">
      <c r="A944" s="274">
        <f>MATCH(B944,STUDIES!$A$3:$A$502,0)</f>
        <v>65</v>
      </c>
      <c r="B944" s="86" t="s">
        <v>1625</v>
      </c>
      <c r="C944" s="466"/>
      <c r="D944" s="352" t="s">
        <v>1302</v>
      </c>
      <c r="E944" s="272" t="s">
        <v>1258</v>
      </c>
      <c r="F944" s="155" t="str">
        <f>_xlfn.XLOOKUP(B944,STUDIES!$A$3:$A$1063,STUDIES!$G$3:$G$1063,"Not Found!")</f>
        <v>A</v>
      </c>
      <c r="G944" s="273" t="s">
        <v>147</v>
      </c>
      <c r="H944" s="273">
        <v>16</v>
      </c>
      <c r="I944" s="273">
        <v>69</v>
      </c>
      <c r="J944" s="274">
        <f>0.42*69</f>
        <v>28.98</v>
      </c>
    </row>
    <row r="945" spans="1:19" ht="18" customHeight="1" x14ac:dyDescent="0.35">
      <c r="A945" s="274">
        <f>MATCH(B945,STUDIES!$A$3:$A$502,0)</f>
        <v>65</v>
      </c>
      <c r="B945" s="86" t="s">
        <v>1625</v>
      </c>
      <c r="C945" s="466"/>
      <c r="D945" s="352" t="s">
        <v>1303</v>
      </c>
      <c r="E945" s="272" t="s">
        <v>1258</v>
      </c>
      <c r="F945" s="155" t="str">
        <f>_xlfn.XLOOKUP(B945,STUDIES!$A$3:$A$1063,STUDIES!$G$3:$G$1063,"Not Found!")</f>
        <v>A</v>
      </c>
      <c r="G945" s="273" t="s">
        <v>147</v>
      </c>
      <c r="H945" s="273">
        <v>16</v>
      </c>
      <c r="I945" s="273">
        <v>69</v>
      </c>
      <c r="J945" s="274">
        <f>0.348*69</f>
        <v>24.011999999999997</v>
      </c>
    </row>
    <row r="946" spans="1:19" ht="18" customHeight="1" x14ac:dyDescent="0.35">
      <c r="A946" s="274">
        <f>MATCH(B946,STUDIES!$A$3:$A$502,0)</f>
        <v>65</v>
      </c>
      <c r="B946" s="86" t="s">
        <v>1625</v>
      </c>
      <c r="C946" s="465"/>
      <c r="D946" s="232" t="s">
        <v>148</v>
      </c>
      <c r="E946" s="272" t="s">
        <v>1244</v>
      </c>
      <c r="F946" s="155" t="str">
        <f>_xlfn.XLOOKUP(B946,STUDIES!$A$3:$A$1063,STUDIES!$G$3:$G$1063,"Not Found!")</f>
        <v>A</v>
      </c>
      <c r="G946" s="273" t="s">
        <v>147</v>
      </c>
      <c r="H946" s="273">
        <v>16</v>
      </c>
      <c r="I946" s="273">
        <v>34</v>
      </c>
      <c r="J946" s="274">
        <f>0.029*34</f>
        <v>0.9860000000000001</v>
      </c>
    </row>
    <row r="947" spans="1:19" ht="18" customHeight="1" x14ac:dyDescent="0.35">
      <c r="A947" s="274">
        <f>MATCH(B947,STUDIES!$A$3:$A$502,0)</f>
        <v>65</v>
      </c>
      <c r="B947" s="86" t="s">
        <v>1625</v>
      </c>
      <c r="C947" s="466"/>
      <c r="D947" s="352" t="s">
        <v>1302</v>
      </c>
      <c r="E947" s="272" t="s">
        <v>1244</v>
      </c>
      <c r="F947" s="155" t="str">
        <f>_xlfn.XLOOKUP(B947,STUDIES!$A$3:$A$1063,STUDIES!$G$3:$G$1063,"Not Found!")</f>
        <v>A</v>
      </c>
      <c r="G947" s="273" t="s">
        <v>147</v>
      </c>
      <c r="H947" s="273">
        <v>16</v>
      </c>
      <c r="I947" s="273">
        <v>69</v>
      </c>
      <c r="J947" s="274">
        <f>0.145*69</f>
        <v>10.004999999999999</v>
      </c>
    </row>
    <row r="948" spans="1:19" ht="18" customHeight="1" x14ac:dyDescent="0.35">
      <c r="A948" s="274">
        <f>MATCH(B948,STUDIES!$A$3:$A$502,0)</f>
        <v>65</v>
      </c>
      <c r="B948" s="86" t="s">
        <v>1625</v>
      </c>
      <c r="C948" s="466"/>
      <c r="D948" s="352" t="s">
        <v>1303</v>
      </c>
      <c r="E948" s="272" t="s">
        <v>1244</v>
      </c>
      <c r="F948" s="155" t="str">
        <f>_xlfn.XLOOKUP(B948,STUDIES!$A$3:$A$1063,STUDIES!$G$3:$G$1063,"Not Found!")</f>
        <v>A</v>
      </c>
      <c r="G948" s="273" t="s">
        <v>147</v>
      </c>
      <c r="H948" s="273">
        <v>16</v>
      </c>
      <c r="I948" s="273">
        <v>69</v>
      </c>
      <c r="J948" s="274">
        <f>0.087*69</f>
        <v>6.0029999999999992</v>
      </c>
    </row>
    <row r="949" spans="1:19" ht="18" customHeight="1" x14ac:dyDescent="0.35">
      <c r="A949" s="274">
        <f>MATCH(B949,STUDIES!$A$3:$A$502,0)</f>
        <v>65</v>
      </c>
      <c r="B949" s="86" t="s">
        <v>1625</v>
      </c>
      <c r="C949" s="465"/>
      <c r="D949" s="232" t="s">
        <v>148</v>
      </c>
      <c r="E949" s="272" t="s">
        <v>154</v>
      </c>
      <c r="F949" s="155" t="str">
        <f>_xlfn.XLOOKUP(B949,STUDIES!$A$3:$A$1063,STUDIES!$G$3:$G$1063,"Not Found!")</f>
        <v>A</v>
      </c>
      <c r="G949" s="273" t="s">
        <v>147</v>
      </c>
      <c r="H949" s="273">
        <v>16</v>
      </c>
      <c r="I949" s="273">
        <v>17</v>
      </c>
      <c r="R949" s="283">
        <v>-3.4</v>
      </c>
      <c r="S949" s="268">
        <v>1.55</v>
      </c>
    </row>
    <row r="950" spans="1:19" ht="18" customHeight="1" x14ac:dyDescent="0.35">
      <c r="A950" s="274">
        <f>MATCH(B950,STUDIES!$A$3:$A$502,0)</f>
        <v>65</v>
      </c>
      <c r="B950" s="86" t="s">
        <v>1625</v>
      </c>
      <c r="C950" s="466"/>
      <c r="D950" s="352" t="s">
        <v>1302</v>
      </c>
      <c r="E950" s="272" t="s">
        <v>154</v>
      </c>
      <c r="F950" s="155" t="str">
        <f>_xlfn.XLOOKUP(B950,STUDIES!$A$3:$A$1063,STUDIES!$G$3:$G$1063,"Not Found!")</f>
        <v>A</v>
      </c>
      <c r="G950" s="273" t="s">
        <v>147</v>
      </c>
      <c r="H950" s="273">
        <v>16</v>
      </c>
      <c r="I950" s="273">
        <v>49</v>
      </c>
      <c r="R950" s="283">
        <v>-3.4</v>
      </c>
      <c r="S950" s="268">
        <v>0.95</v>
      </c>
    </row>
    <row r="951" spans="1:19" ht="18" customHeight="1" x14ac:dyDescent="0.35">
      <c r="A951" s="274">
        <f>MATCH(B951,STUDIES!$A$3:$A$502,0)</f>
        <v>65</v>
      </c>
      <c r="B951" s="86" t="s">
        <v>1625</v>
      </c>
      <c r="C951" s="466"/>
      <c r="D951" s="352" t="s">
        <v>1303</v>
      </c>
      <c r="E951" s="272" t="s">
        <v>154</v>
      </c>
      <c r="F951" s="155" t="str">
        <f>_xlfn.XLOOKUP(B951,STUDIES!$A$3:$A$1063,STUDIES!$G$3:$G$1063,"Not Found!")</f>
        <v>A</v>
      </c>
      <c r="G951" s="273" t="s">
        <v>147</v>
      </c>
      <c r="H951" s="273">
        <v>16</v>
      </c>
      <c r="I951" s="273">
        <v>41</v>
      </c>
      <c r="R951" s="283">
        <v>-4.4000000000000004</v>
      </c>
      <c r="S951" s="268">
        <v>1.03</v>
      </c>
    </row>
    <row r="952" spans="1:19" ht="18" customHeight="1" x14ac:dyDescent="0.35">
      <c r="A952" s="274">
        <f>MATCH(B952,STUDIES!$A$3:$A$502,0)</f>
        <v>65</v>
      </c>
      <c r="B952" s="86" t="s">
        <v>1625</v>
      </c>
      <c r="C952" s="465"/>
      <c r="D952" s="232" t="s">
        <v>148</v>
      </c>
      <c r="E952" s="272" t="s">
        <v>694</v>
      </c>
      <c r="F952" s="155" t="str">
        <f>_xlfn.XLOOKUP(B952,STUDIES!$A$3:$A$1063,STUDIES!$G$3:$G$1063,"Not Found!")</f>
        <v>A</v>
      </c>
      <c r="G952" s="273" t="s">
        <v>147</v>
      </c>
      <c r="H952" s="273">
        <v>16</v>
      </c>
      <c r="I952" s="273">
        <v>0</v>
      </c>
    </row>
    <row r="953" spans="1:19" ht="18" customHeight="1" x14ac:dyDescent="0.35">
      <c r="A953" s="274">
        <f>MATCH(B953,STUDIES!$A$3:$A$502,0)</f>
        <v>65</v>
      </c>
      <c r="B953" s="86" t="s">
        <v>1625</v>
      </c>
      <c r="C953" s="466"/>
      <c r="D953" s="352" t="s">
        <v>1302</v>
      </c>
      <c r="E953" s="272" t="s">
        <v>694</v>
      </c>
      <c r="F953" s="155" t="str">
        <f>_xlfn.XLOOKUP(B953,STUDIES!$A$3:$A$1063,STUDIES!$G$3:$G$1063,"Not Found!")</f>
        <v>A</v>
      </c>
      <c r="G953" s="273" t="s">
        <v>147</v>
      </c>
      <c r="H953" s="273">
        <v>16</v>
      </c>
      <c r="I953" s="273">
        <v>1</v>
      </c>
      <c r="R953" s="283">
        <v>-2</v>
      </c>
    </row>
    <row r="954" spans="1:19" ht="18" customHeight="1" x14ac:dyDescent="0.35">
      <c r="A954" s="274">
        <f>MATCH(B954,STUDIES!$A$3:$A$502,0)</f>
        <v>65</v>
      </c>
      <c r="B954" s="86" t="s">
        <v>1625</v>
      </c>
      <c r="C954" s="466"/>
      <c r="D954" s="352" t="s">
        <v>1303</v>
      </c>
      <c r="E954" s="272" t="s">
        <v>694</v>
      </c>
      <c r="F954" s="155" t="str">
        <f>_xlfn.XLOOKUP(B954,STUDIES!$A$3:$A$1063,STUDIES!$G$3:$G$1063,"Not Found!")</f>
        <v>A</v>
      </c>
      <c r="G954" s="273" t="s">
        <v>147</v>
      </c>
      <c r="H954" s="273">
        <v>16</v>
      </c>
      <c r="I954" s="273">
        <v>0</v>
      </c>
    </row>
    <row r="955" spans="1:19" ht="18" customHeight="1" x14ac:dyDescent="0.35">
      <c r="A955" s="274">
        <f>MATCH(B955,STUDIES!$A$3:$A$502,0)</f>
        <v>65</v>
      </c>
      <c r="B955" s="86" t="s">
        <v>1625</v>
      </c>
      <c r="C955" s="465"/>
      <c r="D955" s="232" t="s">
        <v>148</v>
      </c>
      <c r="E955" s="272" t="s">
        <v>695</v>
      </c>
      <c r="F955" s="155" t="str">
        <f>_xlfn.XLOOKUP(B955,STUDIES!$A$3:$A$1063,STUDIES!$G$3:$G$1063,"Not Found!")</f>
        <v>A</v>
      </c>
      <c r="G955" s="273" t="s">
        <v>147</v>
      </c>
      <c r="H955" s="273">
        <v>16</v>
      </c>
      <c r="I955" s="273">
        <v>17</v>
      </c>
      <c r="R955" s="283">
        <v>-9.8000000000000004E-2</v>
      </c>
      <c r="S955" s="268">
        <v>0.51100000000000001</v>
      </c>
    </row>
    <row r="956" spans="1:19" ht="18" customHeight="1" x14ac:dyDescent="0.35">
      <c r="A956" s="274">
        <f>MATCH(B956,STUDIES!$A$3:$A$502,0)</f>
        <v>65</v>
      </c>
      <c r="B956" s="86" t="s">
        <v>1625</v>
      </c>
      <c r="C956" s="466"/>
      <c r="D956" s="352" t="s">
        <v>1302</v>
      </c>
      <c r="E956" s="272" t="s">
        <v>695</v>
      </c>
      <c r="F956" s="155" t="str">
        <f>_xlfn.XLOOKUP(B956,STUDIES!$A$3:$A$1063,STUDIES!$G$3:$G$1063,"Not Found!")</f>
        <v>A</v>
      </c>
      <c r="G956" s="273" t="s">
        <v>147</v>
      </c>
      <c r="H956" s="273">
        <v>16</v>
      </c>
      <c r="I956" s="273">
        <v>45</v>
      </c>
      <c r="R956" s="283">
        <v>-1.4159999999999999</v>
      </c>
      <c r="S956" s="268">
        <v>0.34079999999999999</v>
      </c>
    </row>
    <row r="957" spans="1:19" ht="18" customHeight="1" x14ac:dyDescent="0.35">
      <c r="A957" s="274">
        <f>MATCH(B957,STUDIES!$A$3:$A$502,0)</f>
        <v>65</v>
      </c>
      <c r="B957" s="86" t="s">
        <v>1625</v>
      </c>
      <c r="C957" s="466"/>
      <c r="D957" s="352" t="s">
        <v>1303</v>
      </c>
      <c r="E957" s="272" t="s">
        <v>695</v>
      </c>
      <c r="F957" s="155" t="str">
        <f>_xlfn.XLOOKUP(B957,STUDIES!$A$3:$A$1063,STUDIES!$G$3:$G$1063,"Not Found!")</f>
        <v>A</v>
      </c>
      <c r="G957" s="273" t="s">
        <v>147</v>
      </c>
      <c r="H957" s="273">
        <v>16</v>
      </c>
      <c r="I957" s="273">
        <v>39</v>
      </c>
      <c r="R957" s="283">
        <v>-1.746</v>
      </c>
      <c r="S957" s="268">
        <v>0.3619</v>
      </c>
    </row>
    <row r="958" spans="1:19" ht="18" customHeight="1" x14ac:dyDescent="0.35">
      <c r="A958" s="274">
        <f>MATCH(B958,STUDIES!$A$3:$A$502,0)</f>
        <v>65</v>
      </c>
      <c r="B958" s="86" t="s">
        <v>1625</v>
      </c>
      <c r="C958" s="465"/>
      <c r="D958" s="232" t="s">
        <v>148</v>
      </c>
      <c r="E958" s="272" t="s">
        <v>1163</v>
      </c>
      <c r="F958" s="155" t="str">
        <f>_xlfn.XLOOKUP(B958,STUDIES!$A$3:$A$1063,STUDIES!$G$3:$G$1063,"Not Found!")</f>
        <v>A</v>
      </c>
      <c r="G958" s="273" t="s">
        <v>147</v>
      </c>
      <c r="H958" s="273">
        <v>16</v>
      </c>
      <c r="I958" s="273">
        <v>34</v>
      </c>
      <c r="J958" s="274">
        <v>3</v>
      </c>
    </row>
    <row r="959" spans="1:19" ht="18" customHeight="1" x14ac:dyDescent="0.35">
      <c r="A959" s="274">
        <f>MATCH(B959,STUDIES!$A$3:$A$502,0)</f>
        <v>65</v>
      </c>
      <c r="B959" s="86" t="s">
        <v>1625</v>
      </c>
      <c r="C959" s="466"/>
      <c r="D959" s="352" t="s">
        <v>1302</v>
      </c>
      <c r="E959" s="272" t="s">
        <v>1163</v>
      </c>
      <c r="F959" s="155" t="str">
        <f>_xlfn.XLOOKUP(B959,STUDIES!$A$3:$A$1063,STUDIES!$G$3:$G$1063,"Not Found!")</f>
        <v>A</v>
      </c>
      <c r="G959" s="273" t="s">
        <v>147</v>
      </c>
      <c r="H959" s="273">
        <v>16</v>
      </c>
      <c r="I959" s="273">
        <v>69</v>
      </c>
      <c r="J959" s="274">
        <v>0</v>
      </c>
    </row>
    <row r="960" spans="1:19" ht="18" customHeight="1" x14ac:dyDescent="0.35">
      <c r="A960" s="274">
        <f>MATCH(B960,STUDIES!$A$3:$A$502,0)</f>
        <v>65</v>
      </c>
      <c r="B960" s="86" t="s">
        <v>1625</v>
      </c>
      <c r="C960" s="466"/>
      <c r="D960" s="352" t="s">
        <v>1303</v>
      </c>
      <c r="E960" s="272" t="s">
        <v>1163</v>
      </c>
      <c r="F960" s="155" t="str">
        <f>_xlfn.XLOOKUP(B960,STUDIES!$A$3:$A$1063,STUDIES!$G$3:$G$1063,"Not Found!")</f>
        <v>A</v>
      </c>
      <c r="G960" s="273" t="s">
        <v>147</v>
      </c>
      <c r="H960" s="273">
        <v>16</v>
      </c>
      <c r="I960" s="273">
        <v>69</v>
      </c>
      <c r="J960" s="274">
        <v>0</v>
      </c>
    </row>
    <row r="961" spans="1:10" ht="18" customHeight="1" x14ac:dyDescent="0.35">
      <c r="A961" s="274">
        <f>MATCH(B961,STUDIES!$A$3:$A$502,0)</f>
        <v>65</v>
      </c>
      <c r="B961" s="86" t="s">
        <v>1625</v>
      </c>
      <c r="C961" s="465"/>
      <c r="D961" s="232" t="s">
        <v>148</v>
      </c>
      <c r="E961" s="272" t="s">
        <v>1167</v>
      </c>
      <c r="F961" s="155" t="str">
        <f>_xlfn.XLOOKUP(B961,STUDIES!$A$3:$A$1063,STUDIES!$G$3:$G$1063,"Not Found!")</f>
        <v>A</v>
      </c>
      <c r="G961" s="273" t="s">
        <v>147</v>
      </c>
      <c r="H961" s="273">
        <v>16</v>
      </c>
      <c r="I961" s="273">
        <v>34</v>
      </c>
      <c r="J961" s="274">
        <v>3</v>
      </c>
    </row>
    <row r="962" spans="1:10" ht="18" customHeight="1" x14ac:dyDescent="0.35">
      <c r="A962" s="274">
        <f>MATCH(B962,STUDIES!$A$3:$A$502,0)</f>
        <v>65</v>
      </c>
      <c r="B962" s="86" t="s">
        <v>1625</v>
      </c>
      <c r="C962" s="466"/>
      <c r="D962" s="352" t="s">
        <v>1302</v>
      </c>
      <c r="E962" s="272" t="s">
        <v>1167</v>
      </c>
      <c r="F962" s="155" t="str">
        <f>_xlfn.XLOOKUP(B962,STUDIES!$A$3:$A$1063,STUDIES!$G$3:$G$1063,"Not Found!")</f>
        <v>A</v>
      </c>
      <c r="G962" s="273" t="s">
        <v>147</v>
      </c>
      <c r="H962" s="273">
        <v>16</v>
      </c>
      <c r="I962" s="273">
        <v>69</v>
      </c>
      <c r="J962" s="274">
        <v>2</v>
      </c>
    </row>
    <row r="963" spans="1:10" ht="18" customHeight="1" x14ac:dyDescent="0.35">
      <c r="A963" s="274">
        <f>MATCH(B963,STUDIES!$A$3:$A$502,0)</f>
        <v>65</v>
      </c>
      <c r="B963" s="86" t="s">
        <v>1625</v>
      </c>
      <c r="C963" s="466"/>
      <c r="D963" s="352" t="s">
        <v>1303</v>
      </c>
      <c r="E963" s="272" t="s">
        <v>1167</v>
      </c>
      <c r="F963" s="155" t="str">
        <f>_xlfn.XLOOKUP(B963,STUDIES!$A$3:$A$1063,STUDIES!$G$3:$G$1063,"Not Found!")</f>
        <v>A</v>
      </c>
      <c r="G963" s="273" t="s">
        <v>147</v>
      </c>
      <c r="H963" s="273">
        <v>16</v>
      </c>
      <c r="I963" s="273">
        <v>69</v>
      </c>
      <c r="J963" s="274">
        <v>1</v>
      </c>
    </row>
    <row r="964" spans="1:10" ht="18" customHeight="1" x14ac:dyDescent="0.35">
      <c r="A964" s="274">
        <f>MATCH(B964,STUDIES!$A$3:$A$502,0)</f>
        <v>66</v>
      </c>
      <c r="B964" s="13" t="s">
        <v>1312</v>
      </c>
      <c r="C964" s="466"/>
      <c r="D964" s="415" t="s">
        <v>148</v>
      </c>
      <c r="E964" s="272" t="s">
        <v>1163</v>
      </c>
      <c r="F964" s="155" t="str">
        <f>_xlfn.XLOOKUP(B964,STUDIES!$A$3:$A$1063,STUDIES!$G$3:$G$1063,"Not Found!")</f>
        <v>A</v>
      </c>
      <c r="G964" s="273" t="s">
        <v>147</v>
      </c>
      <c r="H964" s="273">
        <v>16</v>
      </c>
      <c r="I964" s="273">
        <v>90</v>
      </c>
      <c r="J964" s="274">
        <v>1</v>
      </c>
    </row>
    <row r="965" spans="1:10" ht="18" customHeight="1" x14ac:dyDescent="0.35">
      <c r="A965" s="274">
        <f>MATCH(B965,STUDIES!$A$3:$A$502,0)</f>
        <v>66</v>
      </c>
      <c r="B965" s="86" t="s">
        <v>1312</v>
      </c>
      <c r="C965" s="465"/>
      <c r="D965" s="232" t="s">
        <v>1098</v>
      </c>
      <c r="E965" s="272" t="s">
        <v>1163</v>
      </c>
      <c r="F965" s="155" t="str">
        <f>_xlfn.XLOOKUP(B965,STUDIES!$A$3:$A$1063,STUDIES!$G$3:$G$1063,"Not Found!")</f>
        <v>A</v>
      </c>
      <c r="G965" s="273" t="s">
        <v>147</v>
      </c>
      <c r="H965" s="273">
        <v>16</v>
      </c>
      <c r="I965" s="273">
        <v>91</v>
      </c>
      <c r="J965" s="274">
        <v>1</v>
      </c>
    </row>
    <row r="966" spans="1:10" ht="18" customHeight="1" x14ac:dyDescent="0.35">
      <c r="A966" s="274">
        <f>MATCH(B966,STUDIES!$A$3:$A$502,0)</f>
        <v>66</v>
      </c>
      <c r="B966" s="86" t="s">
        <v>1312</v>
      </c>
      <c r="C966" s="465"/>
      <c r="D966" s="232" t="s">
        <v>1099</v>
      </c>
      <c r="E966" s="272" t="s">
        <v>1163</v>
      </c>
      <c r="F966" s="155" t="str">
        <f>_xlfn.XLOOKUP(B966,STUDIES!$A$3:$A$1063,STUDIES!$G$3:$G$1063,"Not Found!")</f>
        <v>A</v>
      </c>
      <c r="G966" s="273" t="s">
        <v>147</v>
      </c>
      <c r="H966" s="273">
        <v>16</v>
      </c>
      <c r="I966" s="273">
        <v>91</v>
      </c>
      <c r="J966" s="274">
        <v>1</v>
      </c>
    </row>
    <row r="967" spans="1:10" ht="18" customHeight="1" x14ac:dyDescent="0.35">
      <c r="A967" s="274">
        <f>MATCH(B967,STUDIES!$A$3:$A$502,0)</f>
        <v>66</v>
      </c>
      <c r="B967" s="13" t="s">
        <v>1312</v>
      </c>
      <c r="C967" s="466"/>
      <c r="D967" s="415" t="s">
        <v>148</v>
      </c>
      <c r="E967" s="272" t="s">
        <v>1167</v>
      </c>
      <c r="F967" s="155" t="str">
        <f>_xlfn.XLOOKUP(B967,STUDIES!$A$3:$A$1063,STUDIES!$G$3:$G$1063,"Not Found!")</f>
        <v>A</v>
      </c>
      <c r="G967" s="273" t="s">
        <v>147</v>
      </c>
      <c r="H967" s="273">
        <v>16</v>
      </c>
      <c r="I967" s="273">
        <v>90</v>
      </c>
      <c r="J967" s="274">
        <v>0</v>
      </c>
    </row>
    <row r="968" spans="1:10" ht="18" customHeight="1" x14ac:dyDescent="0.35">
      <c r="A968" s="274">
        <f>MATCH(B968,STUDIES!$A$3:$A$502,0)</f>
        <v>66</v>
      </c>
      <c r="B968" s="86" t="s">
        <v>1312</v>
      </c>
      <c r="C968" s="465"/>
      <c r="D968" s="232" t="s">
        <v>1098</v>
      </c>
      <c r="E968" s="272" t="s">
        <v>1167</v>
      </c>
      <c r="F968" s="155" t="str">
        <f>_xlfn.XLOOKUP(B968,STUDIES!$A$3:$A$1063,STUDIES!$G$3:$G$1063,"Not Found!")</f>
        <v>A</v>
      </c>
      <c r="G968" s="273" t="s">
        <v>147</v>
      </c>
      <c r="H968" s="273">
        <v>16</v>
      </c>
      <c r="I968" s="273">
        <v>91</v>
      </c>
      <c r="J968" s="274">
        <v>2</v>
      </c>
    </row>
    <row r="969" spans="1:10" ht="18" customHeight="1" x14ac:dyDescent="0.35">
      <c r="A969" s="274">
        <f>MATCH(B969,STUDIES!$A$3:$A$502,0)</f>
        <v>66</v>
      </c>
      <c r="B969" s="86" t="s">
        <v>1312</v>
      </c>
      <c r="C969" s="465"/>
      <c r="D969" s="232" t="s">
        <v>1099</v>
      </c>
      <c r="E969" s="272" t="s">
        <v>1167</v>
      </c>
      <c r="F969" s="155" t="str">
        <f>_xlfn.XLOOKUP(B969,STUDIES!$A$3:$A$1063,STUDIES!$G$3:$G$1063,"Not Found!")</f>
        <v>A</v>
      </c>
      <c r="G969" s="273" t="s">
        <v>147</v>
      </c>
      <c r="H969" s="273">
        <v>16</v>
      </c>
      <c r="I969" s="273">
        <v>91</v>
      </c>
      <c r="J969" s="274">
        <v>0</v>
      </c>
    </row>
    <row r="970" spans="1:10" ht="18" customHeight="1" x14ac:dyDescent="0.35">
      <c r="A970" s="274">
        <f>MATCH(B970,STUDIES!$A$3:$A$502,0)</f>
        <v>66</v>
      </c>
      <c r="B970" s="13" t="s">
        <v>1312</v>
      </c>
      <c r="C970" s="466"/>
      <c r="D970" s="415" t="s">
        <v>148</v>
      </c>
      <c r="E970" s="272" t="s">
        <v>1268</v>
      </c>
      <c r="F970" s="155" t="str">
        <f>_xlfn.XLOOKUP(B970,STUDIES!$A$3:$A$1063,STUDIES!$G$3:$G$1063,"Not Found!")</f>
        <v>A</v>
      </c>
      <c r="G970" s="273" t="s">
        <v>147</v>
      </c>
      <c r="H970" s="273">
        <v>16</v>
      </c>
      <c r="I970" s="273">
        <v>90</v>
      </c>
      <c r="J970" s="274">
        <v>6</v>
      </c>
    </row>
    <row r="971" spans="1:10" ht="18" customHeight="1" x14ac:dyDescent="0.35">
      <c r="A971" s="274">
        <f>MATCH(B971,STUDIES!$A$3:$A$502,0)</f>
        <v>66</v>
      </c>
      <c r="B971" s="86" t="s">
        <v>1312</v>
      </c>
      <c r="C971" s="465"/>
      <c r="D971" s="232" t="s">
        <v>1098</v>
      </c>
      <c r="E971" s="272" t="s">
        <v>1268</v>
      </c>
      <c r="F971" s="155" t="str">
        <f>_xlfn.XLOOKUP(B971,STUDIES!$A$3:$A$1063,STUDIES!$G$3:$G$1063,"Not Found!")</f>
        <v>A</v>
      </c>
      <c r="G971" s="273" t="s">
        <v>147</v>
      </c>
      <c r="H971" s="273">
        <v>16</v>
      </c>
      <c r="I971" s="273">
        <v>91</v>
      </c>
      <c r="J971" s="274">
        <v>37</v>
      </c>
    </row>
    <row r="972" spans="1:10" ht="18" customHeight="1" x14ac:dyDescent="0.35">
      <c r="A972" s="274">
        <f>MATCH(B972,STUDIES!$A$3:$A$502,0)</f>
        <v>66</v>
      </c>
      <c r="B972" s="86" t="s">
        <v>1312</v>
      </c>
      <c r="C972" s="465"/>
      <c r="D972" s="232" t="s">
        <v>1099</v>
      </c>
      <c r="E972" s="272" t="s">
        <v>1268</v>
      </c>
      <c r="F972" s="155" t="str">
        <f>_xlfn.XLOOKUP(B972,STUDIES!$A$3:$A$1063,STUDIES!$G$3:$G$1063,"Not Found!")</f>
        <v>A</v>
      </c>
      <c r="G972" s="273" t="s">
        <v>147</v>
      </c>
      <c r="H972" s="273">
        <v>16</v>
      </c>
      <c r="I972" s="273">
        <v>91</v>
      </c>
      <c r="J972" s="274">
        <v>43</v>
      </c>
    </row>
    <row r="973" spans="1:10" ht="18" customHeight="1" x14ac:dyDescent="0.35">
      <c r="A973" s="274">
        <f>MATCH(B973,STUDIES!$A$3:$A$502,0)</f>
        <v>66</v>
      </c>
      <c r="B973" s="13" t="s">
        <v>1312</v>
      </c>
      <c r="C973" s="466"/>
      <c r="D973" s="415" t="s">
        <v>148</v>
      </c>
      <c r="E973" s="272" t="s">
        <v>1244</v>
      </c>
      <c r="F973" s="155" t="str">
        <f>_xlfn.XLOOKUP(B973,STUDIES!$A$3:$A$1063,STUDIES!$G$3:$G$1063,"Not Found!")</f>
        <v>A</v>
      </c>
      <c r="G973" s="273" t="s">
        <v>147</v>
      </c>
      <c r="H973" s="273">
        <v>16</v>
      </c>
      <c r="I973" s="273">
        <v>90</v>
      </c>
      <c r="J973" s="274">
        <v>6</v>
      </c>
    </row>
    <row r="974" spans="1:10" ht="18" customHeight="1" x14ac:dyDescent="0.35">
      <c r="A974" s="274">
        <f>MATCH(B974,STUDIES!$A$3:$A$502,0)</f>
        <v>66</v>
      </c>
      <c r="B974" s="86" t="s">
        <v>1312</v>
      </c>
      <c r="C974" s="465"/>
      <c r="D974" s="232" t="s">
        <v>1098</v>
      </c>
      <c r="E974" s="272" t="s">
        <v>1244</v>
      </c>
      <c r="F974" s="155" t="str">
        <f>_xlfn.XLOOKUP(B974,STUDIES!$A$3:$A$1063,STUDIES!$G$3:$G$1063,"Not Found!")</f>
        <v>A</v>
      </c>
      <c r="G974" s="273" t="s">
        <v>147</v>
      </c>
      <c r="H974" s="273">
        <v>16</v>
      </c>
      <c r="I974" s="273">
        <v>91</v>
      </c>
      <c r="J974" s="274">
        <v>38</v>
      </c>
    </row>
    <row r="975" spans="1:10" ht="18" customHeight="1" x14ac:dyDescent="0.35">
      <c r="A975" s="274">
        <f>MATCH(B975,STUDIES!$A$3:$A$502,0)</f>
        <v>66</v>
      </c>
      <c r="B975" s="86" t="s">
        <v>1312</v>
      </c>
      <c r="C975" s="465"/>
      <c r="D975" s="232" t="s">
        <v>1099</v>
      </c>
      <c r="E975" s="272" t="s">
        <v>1244</v>
      </c>
      <c r="F975" s="155" t="str">
        <f>_xlfn.XLOOKUP(B975,STUDIES!$A$3:$A$1063,STUDIES!$G$3:$G$1063,"Not Found!")</f>
        <v>A</v>
      </c>
      <c r="G975" s="273" t="s">
        <v>147</v>
      </c>
      <c r="H975" s="273">
        <v>16</v>
      </c>
      <c r="I975" s="273">
        <v>91</v>
      </c>
      <c r="J975" s="274">
        <v>44</v>
      </c>
    </row>
    <row r="976" spans="1:10" ht="18" customHeight="1" x14ac:dyDescent="0.35">
      <c r="A976" s="274">
        <f>MATCH(B976,STUDIES!$A$3:$A$502,0)</f>
        <v>66</v>
      </c>
      <c r="B976" s="13" t="s">
        <v>1312</v>
      </c>
      <c r="C976" s="466"/>
      <c r="D976" s="415" t="s">
        <v>148</v>
      </c>
      <c r="E976" s="272" t="s">
        <v>1243</v>
      </c>
      <c r="F976" s="155" t="str">
        <f>_xlfn.XLOOKUP(B976,STUDIES!$A$3:$A$1063,STUDIES!$G$3:$G$1063,"Not Found!")</f>
        <v>A</v>
      </c>
      <c r="G976" s="273" t="s">
        <v>147</v>
      </c>
      <c r="H976" s="273">
        <v>16</v>
      </c>
      <c r="I976" s="273">
        <v>90</v>
      </c>
      <c r="J976" s="274">
        <v>17</v>
      </c>
    </row>
    <row r="977" spans="1:10" ht="18" customHeight="1" x14ac:dyDescent="0.35">
      <c r="A977" s="274">
        <f>MATCH(B977,STUDIES!$A$3:$A$502,0)</f>
        <v>66</v>
      </c>
      <c r="B977" s="86" t="s">
        <v>1312</v>
      </c>
      <c r="C977" s="465"/>
      <c r="D977" s="232" t="s">
        <v>1098</v>
      </c>
      <c r="E977" s="272" t="s">
        <v>1243</v>
      </c>
      <c r="F977" s="155" t="str">
        <f>_xlfn.XLOOKUP(B977,STUDIES!$A$3:$A$1063,STUDIES!$G$3:$G$1063,"Not Found!")</f>
        <v>A</v>
      </c>
      <c r="G977" s="273" t="s">
        <v>147</v>
      </c>
      <c r="H977" s="273">
        <v>16</v>
      </c>
      <c r="I977" s="273">
        <v>91</v>
      </c>
      <c r="J977" s="274">
        <v>59</v>
      </c>
    </row>
    <row r="978" spans="1:10" ht="18" customHeight="1" x14ac:dyDescent="0.35">
      <c r="A978" s="274">
        <f>MATCH(B978,STUDIES!$A$3:$A$502,0)</f>
        <v>66</v>
      </c>
      <c r="B978" s="86" t="s">
        <v>1312</v>
      </c>
      <c r="C978" s="465"/>
      <c r="D978" s="232" t="s">
        <v>1099</v>
      </c>
      <c r="E978" s="272" t="s">
        <v>1243</v>
      </c>
      <c r="F978" s="155" t="str">
        <f>_xlfn.XLOOKUP(B978,STUDIES!$A$3:$A$1063,STUDIES!$G$3:$G$1063,"Not Found!")</f>
        <v>A</v>
      </c>
      <c r="G978" s="273" t="s">
        <v>147</v>
      </c>
      <c r="H978" s="273">
        <v>16</v>
      </c>
      <c r="I978" s="273">
        <v>91</v>
      </c>
      <c r="J978" s="274">
        <v>68</v>
      </c>
    </row>
    <row r="979" spans="1:10" ht="18" customHeight="1" x14ac:dyDescent="0.35">
      <c r="A979" s="274">
        <f>MATCH(B979,STUDIES!$A$3:$A$502,0)</f>
        <v>66</v>
      </c>
      <c r="B979" s="13" t="s">
        <v>1312</v>
      </c>
      <c r="C979" s="466"/>
      <c r="D979" s="415" t="s">
        <v>148</v>
      </c>
      <c r="E979" s="272" t="s">
        <v>1258</v>
      </c>
      <c r="F979" s="155" t="str">
        <f>_xlfn.XLOOKUP(B979,STUDIES!$A$3:$A$1063,STUDIES!$G$3:$G$1063,"Not Found!")</f>
        <v>A</v>
      </c>
      <c r="G979" s="273" t="s">
        <v>147</v>
      </c>
      <c r="H979" s="273">
        <v>16</v>
      </c>
      <c r="I979" s="273">
        <v>90</v>
      </c>
      <c r="J979" s="274">
        <v>26</v>
      </c>
    </row>
    <row r="980" spans="1:10" ht="18" customHeight="1" x14ac:dyDescent="0.35">
      <c r="A980" s="274">
        <f>MATCH(B980,STUDIES!$A$3:$A$502,0)</f>
        <v>66</v>
      </c>
      <c r="B980" s="86" t="s">
        <v>1312</v>
      </c>
      <c r="C980" s="465"/>
      <c r="D980" s="232" t="s">
        <v>1098</v>
      </c>
      <c r="E980" s="272" t="s">
        <v>1258</v>
      </c>
      <c r="F980" s="155" t="str">
        <f>_xlfn.XLOOKUP(B980,STUDIES!$A$3:$A$1063,STUDIES!$G$3:$G$1063,"Not Found!")</f>
        <v>A</v>
      </c>
      <c r="G980" s="273" t="s">
        <v>147</v>
      </c>
      <c r="H980" s="273">
        <v>16</v>
      </c>
      <c r="I980" s="273">
        <v>91</v>
      </c>
      <c r="J980" s="274">
        <v>77</v>
      </c>
    </row>
    <row r="981" spans="1:10" ht="18" customHeight="1" x14ac:dyDescent="0.35">
      <c r="A981" s="274">
        <f>MATCH(B981,STUDIES!$A$3:$A$502,0)</f>
        <v>66</v>
      </c>
      <c r="B981" s="86" t="s">
        <v>1312</v>
      </c>
      <c r="C981" s="465"/>
      <c r="D981" s="232" t="s">
        <v>1099</v>
      </c>
      <c r="E981" s="272" t="s">
        <v>1258</v>
      </c>
      <c r="F981" s="155" t="str">
        <f>_xlfn.XLOOKUP(B981,STUDIES!$A$3:$A$1063,STUDIES!$G$3:$G$1063,"Not Found!")</f>
        <v>A</v>
      </c>
      <c r="G981" s="273" t="s">
        <v>147</v>
      </c>
      <c r="H981" s="273">
        <v>16</v>
      </c>
      <c r="I981" s="273">
        <v>91</v>
      </c>
      <c r="J981" s="274">
        <v>79</v>
      </c>
    </row>
    <row r="982" spans="1:10" ht="18" customHeight="1" x14ac:dyDescent="0.35">
      <c r="A982" s="274">
        <f>MATCH(B982,STUDIES!$A$3:$A$502,0)</f>
        <v>66</v>
      </c>
      <c r="B982" s="86" t="s">
        <v>1312</v>
      </c>
      <c r="C982" s="465">
        <v>1</v>
      </c>
      <c r="D982" s="415" t="s">
        <v>148</v>
      </c>
      <c r="E982" s="272" t="s">
        <v>1163</v>
      </c>
      <c r="F982" s="155" t="s">
        <v>1642</v>
      </c>
      <c r="G982" s="273" t="s">
        <v>147</v>
      </c>
      <c r="H982" s="273">
        <v>16</v>
      </c>
      <c r="I982" s="273">
        <v>9</v>
      </c>
      <c r="J982" s="274">
        <v>0</v>
      </c>
    </row>
    <row r="983" spans="1:10" ht="18" customHeight="1" x14ac:dyDescent="0.35">
      <c r="A983" s="274">
        <f>MATCH(B983,STUDIES!$A$3:$A$502,0)</f>
        <v>66</v>
      </c>
      <c r="B983" s="86" t="s">
        <v>1312</v>
      </c>
      <c r="C983" s="465">
        <v>1</v>
      </c>
      <c r="D983" s="232" t="s">
        <v>1098</v>
      </c>
      <c r="E983" s="272" t="s">
        <v>1163</v>
      </c>
      <c r="F983" s="155" t="s">
        <v>1642</v>
      </c>
      <c r="G983" s="273" t="s">
        <v>147</v>
      </c>
      <c r="H983" s="273">
        <v>16</v>
      </c>
      <c r="I983" s="273">
        <v>10</v>
      </c>
      <c r="J983" s="274">
        <v>0</v>
      </c>
    </row>
    <row r="984" spans="1:10" ht="18" customHeight="1" x14ac:dyDescent="0.35">
      <c r="A984" s="274">
        <f>MATCH(B984,STUDIES!$A$3:$A$502,0)</f>
        <v>66</v>
      </c>
      <c r="B984" s="86" t="s">
        <v>1312</v>
      </c>
      <c r="C984" s="465">
        <v>1</v>
      </c>
      <c r="D984" s="232" t="s">
        <v>1099</v>
      </c>
      <c r="E984" s="272" t="s">
        <v>1163</v>
      </c>
      <c r="F984" s="155" t="s">
        <v>1642</v>
      </c>
      <c r="G984" s="273" t="s">
        <v>147</v>
      </c>
      <c r="H984" s="273">
        <v>16</v>
      </c>
      <c r="I984" s="273">
        <v>10</v>
      </c>
      <c r="J984" s="274">
        <v>0</v>
      </c>
    </row>
    <row r="985" spans="1:10" ht="18" customHeight="1" x14ac:dyDescent="0.35">
      <c r="A985" s="274">
        <f>MATCH(B985,STUDIES!$A$3:$A$502,0)</f>
        <v>66</v>
      </c>
      <c r="B985" s="86" t="s">
        <v>1312</v>
      </c>
      <c r="C985" s="465">
        <v>1</v>
      </c>
      <c r="D985" s="415" t="s">
        <v>148</v>
      </c>
      <c r="E985" s="272" t="s">
        <v>1167</v>
      </c>
      <c r="F985" s="155" t="s">
        <v>1642</v>
      </c>
      <c r="G985" s="273" t="s">
        <v>147</v>
      </c>
      <c r="H985" s="273">
        <v>16</v>
      </c>
      <c r="I985" s="273">
        <v>9</v>
      </c>
      <c r="J985" s="274">
        <v>0</v>
      </c>
    </row>
    <row r="986" spans="1:10" ht="18" customHeight="1" x14ac:dyDescent="0.35">
      <c r="A986" s="274">
        <f>MATCH(B986,STUDIES!$A$3:$A$502,0)</f>
        <v>66</v>
      </c>
      <c r="B986" s="86" t="s">
        <v>1312</v>
      </c>
      <c r="C986" s="465">
        <v>1</v>
      </c>
      <c r="D986" s="232" t="s">
        <v>1098</v>
      </c>
      <c r="E986" s="272" t="s">
        <v>1167</v>
      </c>
      <c r="F986" s="155" t="s">
        <v>1642</v>
      </c>
      <c r="G986" s="273" t="s">
        <v>147</v>
      </c>
      <c r="H986" s="273">
        <v>16</v>
      </c>
      <c r="I986" s="273">
        <v>10</v>
      </c>
      <c r="J986" s="274">
        <v>0</v>
      </c>
    </row>
    <row r="987" spans="1:10" ht="18" customHeight="1" x14ac:dyDescent="0.35">
      <c r="A987" s="274">
        <f>MATCH(B987,STUDIES!$A$3:$A$502,0)</f>
        <v>66</v>
      </c>
      <c r="B987" s="86" t="s">
        <v>1312</v>
      </c>
      <c r="C987" s="465">
        <v>1</v>
      </c>
      <c r="D987" s="232" t="s">
        <v>1099</v>
      </c>
      <c r="E987" s="272" t="s">
        <v>1167</v>
      </c>
      <c r="F987" s="155" t="s">
        <v>1642</v>
      </c>
      <c r="G987" s="273" t="s">
        <v>147</v>
      </c>
      <c r="H987" s="273">
        <v>16</v>
      </c>
      <c r="I987" s="273">
        <v>10</v>
      </c>
      <c r="J987" s="274">
        <v>0</v>
      </c>
    </row>
    <row r="988" spans="1:10" ht="18" customHeight="1" x14ac:dyDescent="0.35">
      <c r="A988" s="274">
        <f>MATCH(B988,STUDIES!$A$3:$A$502,0)</f>
        <v>66</v>
      </c>
      <c r="B988" s="86" t="s">
        <v>1312</v>
      </c>
      <c r="C988" s="465">
        <v>1</v>
      </c>
      <c r="D988" s="415" t="s">
        <v>148</v>
      </c>
      <c r="E988" s="272" t="s">
        <v>1268</v>
      </c>
      <c r="F988" s="155" t="s">
        <v>1642</v>
      </c>
      <c r="G988" s="273" t="s">
        <v>147</v>
      </c>
      <c r="H988" s="273">
        <v>16</v>
      </c>
      <c r="I988" s="273">
        <v>9</v>
      </c>
      <c r="J988" s="274">
        <v>1</v>
      </c>
    </row>
    <row r="989" spans="1:10" ht="18" customHeight="1" x14ac:dyDescent="0.35">
      <c r="A989" s="274">
        <f>MATCH(B989,STUDIES!$A$3:$A$502,0)</f>
        <v>66</v>
      </c>
      <c r="B989" s="86" t="s">
        <v>1312</v>
      </c>
      <c r="C989" s="465">
        <v>1</v>
      </c>
      <c r="D989" s="232" t="s">
        <v>1098</v>
      </c>
      <c r="E989" s="272" t="s">
        <v>1268</v>
      </c>
      <c r="F989" s="155" t="s">
        <v>1642</v>
      </c>
      <c r="G989" s="273" t="s">
        <v>147</v>
      </c>
      <c r="H989" s="273">
        <v>16</v>
      </c>
      <c r="I989" s="273">
        <v>10</v>
      </c>
      <c r="J989" s="274">
        <v>7</v>
      </c>
    </row>
    <row r="990" spans="1:10" ht="18" customHeight="1" x14ac:dyDescent="0.35">
      <c r="A990" s="274">
        <f>MATCH(B990,STUDIES!$A$3:$A$502,0)</f>
        <v>66</v>
      </c>
      <c r="B990" s="86" t="s">
        <v>1312</v>
      </c>
      <c r="C990" s="465">
        <v>1</v>
      </c>
      <c r="D990" s="232" t="s">
        <v>1099</v>
      </c>
      <c r="E990" s="272" t="s">
        <v>1268</v>
      </c>
      <c r="F990" s="155" t="s">
        <v>1642</v>
      </c>
      <c r="G990" s="273" t="s">
        <v>147</v>
      </c>
      <c r="H990" s="273">
        <v>16</v>
      </c>
      <c r="I990" s="273">
        <v>10</v>
      </c>
      <c r="J990" s="274">
        <v>5</v>
      </c>
    </row>
    <row r="991" spans="1:10" ht="18" customHeight="1" x14ac:dyDescent="0.35">
      <c r="A991" s="274">
        <f>MATCH(B991,STUDIES!$A$3:$A$502,0)</f>
        <v>66</v>
      </c>
      <c r="B991" s="86" t="s">
        <v>1312</v>
      </c>
      <c r="C991" s="465">
        <v>1</v>
      </c>
      <c r="D991" s="415" t="s">
        <v>148</v>
      </c>
      <c r="E991" s="272" t="s">
        <v>1244</v>
      </c>
      <c r="F991" s="155" t="s">
        <v>1642</v>
      </c>
      <c r="G991" s="273" t="s">
        <v>147</v>
      </c>
      <c r="H991" s="273">
        <v>16</v>
      </c>
      <c r="I991" s="273">
        <v>9</v>
      </c>
      <c r="J991" s="274">
        <v>1</v>
      </c>
    </row>
    <row r="992" spans="1:10" ht="18" customHeight="1" x14ac:dyDescent="0.35">
      <c r="A992" s="274">
        <f>MATCH(B992,STUDIES!$A$3:$A$502,0)</f>
        <v>66</v>
      </c>
      <c r="B992" s="86" t="s">
        <v>1312</v>
      </c>
      <c r="C992" s="465">
        <v>1</v>
      </c>
      <c r="D992" s="232" t="s">
        <v>1098</v>
      </c>
      <c r="E992" s="272" t="s">
        <v>1244</v>
      </c>
      <c r="F992" s="155" t="s">
        <v>1642</v>
      </c>
      <c r="G992" s="273" t="s">
        <v>147</v>
      </c>
      <c r="H992" s="273">
        <v>16</v>
      </c>
      <c r="I992" s="273">
        <v>10</v>
      </c>
      <c r="J992" s="274">
        <v>4</v>
      </c>
    </row>
    <row r="993" spans="1:10" ht="18" customHeight="1" x14ac:dyDescent="0.35">
      <c r="A993" s="274">
        <f>MATCH(B993,STUDIES!$A$3:$A$502,0)</f>
        <v>66</v>
      </c>
      <c r="B993" s="86" t="s">
        <v>1312</v>
      </c>
      <c r="C993" s="465">
        <v>1</v>
      </c>
      <c r="D993" s="232" t="s">
        <v>1099</v>
      </c>
      <c r="E993" s="272" t="s">
        <v>1244</v>
      </c>
      <c r="F993" s="155" t="s">
        <v>1642</v>
      </c>
      <c r="G993" s="273" t="s">
        <v>147</v>
      </c>
      <c r="H993" s="273">
        <v>16</v>
      </c>
      <c r="I993" s="273">
        <v>10</v>
      </c>
      <c r="J993" s="274">
        <v>6</v>
      </c>
    </row>
    <row r="994" spans="1:10" ht="18" customHeight="1" x14ac:dyDescent="0.35">
      <c r="A994" s="274">
        <f>MATCH(B994,STUDIES!$A$3:$A$502,0)</f>
        <v>66</v>
      </c>
      <c r="B994" s="86" t="s">
        <v>1312</v>
      </c>
      <c r="C994" s="465">
        <v>1</v>
      </c>
      <c r="D994" s="415" t="s">
        <v>148</v>
      </c>
      <c r="E994" s="272" t="s">
        <v>1243</v>
      </c>
      <c r="F994" s="155" t="s">
        <v>1642</v>
      </c>
      <c r="G994" s="273" t="s">
        <v>147</v>
      </c>
      <c r="H994" s="273">
        <v>16</v>
      </c>
      <c r="I994" s="273">
        <v>9</v>
      </c>
      <c r="J994" s="274">
        <v>2</v>
      </c>
    </row>
    <row r="995" spans="1:10" ht="18" customHeight="1" x14ac:dyDescent="0.35">
      <c r="A995" s="274">
        <f>MATCH(B995,STUDIES!$A$3:$A$502,0)</f>
        <v>66</v>
      </c>
      <c r="B995" s="86" t="s">
        <v>1312</v>
      </c>
      <c r="C995" s="465">
        <v>1</v>
      </c>
      <c r="D995" s="232" t="s">
        <v>1098</v>
      </c>
      <c r="E995" s="272" t="s">
        <v>1243</v>
      </c>
      <c r="F995" s="155" t="s">
        <v>1642</v>
      </c>
      <c r="G995" s="273" t="s">
        <v>147</v>
      </c>
      <c r="H995" s="273">
        <v>16</v>
      </c>
      <c r="I995" s="273">
        <v>10</v>
      </c>
      <c r="J995" s="274">
        <v>7</v>
      </c>
    </row>
    <row r="996" spans="1:10" ht="18" customHeight="1" x14ac:dyDescent="0.35">
      <c r="A996" s="274">
        <f>MATCH(B996,STUDIES!$A$3:$A$502,0)</f>
        <v>66</v>
      </c>
      <c r="B996" s="86" t="s">
        <v>1312</v>
      </c>
      <c r="C996" s="465">
        <v>1</v>
      </c>
      <c r="D996" s="232" t="s">
        <v>1099</v>
      </c>
      <c r="E996" s="272" t="s">
        <v>1243</v>
      </c>
      <c r="F996" s="155" t="s">
        <v>1642</v>
      </c>
      <c r="G996" s="273" t="s">
        <v>147</v>
      </c>
      <c r="H996" s="273">
        <v>16</v>
      </c>
      <c r="I996" s="273">
        <v>10</v>
      </c>
      <c r="J996" s="274">
        <v>9</v>
      </c>
    </row>
    <row r="997" spans="1:10" ht="18" customHeight="1" x14ac:dyDescent="0.35">
      <c r="A997" s="274">
        <f>MATCH(B997,STUDIES!$A$3:$A$502,0)</f>
        <v>66</v>
      </c>
      <c r="B997" s="86" t="s">
        <v>1312</v>
      </c>
      <c r="C997" s="465">
        <v>1</v>
      </c>
      <c r="D997" s="415" t="s">
        <v>148</v>
      </c>
      <c r="E997" s="272" t="s">
        <v>1258</v>
      </c>
      <c r="F997" s="155" t="s">
        <v>1642</v>
      </c>
      <c r="G997" s="273" t="s">
        <v>147</v>
      </c>
      <c r="H997" s="273">
        <v>16</v>
      </c>
      <c r="I997" s="273">
        <v>9</v>
      </c>
      <c r="J997" s="274">
        <v>3</v>
      </c>
    </row>
    <row r="998" spans="1:10" ht="18" customHeight="1" x14ac:dyDescent="0.35">
      <c r="A998" s="274">
        <f>MATCH(B998,STUDIES!$A$3:$A$502,0)</f>
        <v>66</v>
      </c>
      <c r="B998" s="86" t="s">
        <v>1312</v>
      </c>
      <c r="C998" s="465">
        <v>1</v>
      </c>
      <c r="D998" s="232" t="s">
        <v>1098</v>
      </c>
      <c r="E998" s="272" t="s">
        <v>1258</v>
      </c>
      <c r="F998" s="155" t="s">
        <v>1642</v>
      </c>
      <c r="G998" s="273" t="s">
        <v>147</v>
      </c>
      <c r="H998" s="273">
        <v>16</v>
      </c>
      <c r="I998" s="273">
        <v>10</v>
      </c>
      <c r="J998" s="274">
        <v>9</v>
      </c>
    </row>
    <row r="999" spans="1:10" ht="18" customHeight="1" x14ac:dyDescent="0.35">
      <c r="A999" s="274">
        <f>MATCH(B999,STUDIES!$A$3:$A$502,0)</f>
        <v>66</v>
      </c>
      <c r="B999" s="86" t="s">
        <v>1312</v>
      </c>
      <c r="C999" s="465">
        <v>1</v>
      </c>
      <c r="D999" s="232" t="s">
        <v>1099</v>
      </c>
      <c r="E999" s="272" t="s">
        <v>1258</v>
      </c>
      <c r="F999" s="155" t="s">
        <v>1642</v>
      </c>
      <c r="G999" s="273" t="s">
        <v>147</v>
      </c>
      <c r="H999" s="273">
        <v>16</v>
      </c>
      <c r="I999" s="273">
        <v>10</v>
      </c>
      <c r="J999" s="274">
        <v>10</v>
      </c>
    </row>
    <row r="1000" spans="1:10" ht="18" customHeight="1" x14ac:dyDescent="0.35">
      <c r="A1000" s="274">
        <f>MATCH(B1000,STUDIES!$A$3:$A$502,0)</f>
        <v>67</v>
      </c>
      <c r="B1000" s="86" t="s">
        <v>1573</v>
      </c>
      <c r="C1000" s="465"/>
      <c r="D1000" s="82" t="s">
        <v>1089</v>
      </c>
      <c r="E1000" s="272" t="s">
        <v>1244</v>
      </c>
      <c r="F1000" s="155" t="str">
        <f>_xlfn.XLOOKUP(B1000,STUDIES!$A$3:$A$1063,STUDIES!$G$3:$G$1063,"Not Found!")</f>
        <v>A</v>
      </c>
      <c r="G1000" s="273" t="s">
        <v>147</v>
      </c>
      <c r="H1000" s="273">
        <v>16</v>
      </c>
      <c r="I1000" s="273">
        <v>357</v>
      </c>
      <c r="J1000" s="274">
        <f>0.543*357</f>
        <v>193.85100000000003</v>
      </c>
    </row>
    <row r="1001" spans="1:10" ht="18" customHeight="1" x14ac:dyDescent="0.35">
      <c r="A1001" s="274">
        <f>MATCH(B1001,STUDIES!$A$3:$A$502,0)</f>
        <v>67</v>
      </c>
      <c r="B1001" s="86" t="s">
        <v>1573</v>
      </c>
      <c r="C1001" s="465"/>
      <c r="D1001" s="232" t="s">
        <v>1056</v>
      </c>
      <c r="E1001" s="272" t="s">
        <v>1244</v>
      </c>
      <c r="F1001" s="155" t="str">
        <f>_xlfn.XLOOKUP(B1001,STUDIES!$A$3:$A$1063,STUDIES!$G$3:$G$1063,"Not Found!")</f>
        <v>A</v>
      </c>
      <c r="G1001" s="273" t="s">
        <v>147</v>
      </c>
      <c r="H1001" s="273">
        <v>16</v>
      </c>
      <c r="I1001" s="273">
        <v>360</v>
      </c>
      <c r="J1001" s="274">
        <f>0.419*360</f>
        <v>150.84</v>
      </c>
    </row>
    <row r="1002" spans="1:10" ht="18" customHeight="1" x14ac:dyDescent="0.35">
      <c r="A1002" s="274">
        <f>MATCH(B1002,STUDIES!$A$3:$A$502,0)</f>
        <v>67</v>
      </c>
      <c r="B1002" s="86" t="s">
        <v>1573</v>
      </c>
      <c r="C1002" s="465"/>
      <c r="D1002" s="82" t="s">
        <v>1089</v>
      </c>
      <c r="E1002" s="272" t="s">
        <v>1244</v>
      </c>
      <c r="F1002" s="155" t="str">
        <f>_xlfn.XLOOKUP(B1002,STUDIES!$A$3:$A$1063,STUDIES!$G$3:$G$1063,"Not Found!")</f>
        <v>A</v>
      </c>
      <c r="G1002" s="273" t="s">
        <v>152</v>
      </c>
      <c r="H1002" s="273">
        <v>26</v>
      </c>
      <c r="I1002" s="273">
        <v>348</v>
      </c>
      <c r="J1002" s="274">
        <f>0.546*348</f>
        <v>190.00800000000001</v>
      </c>
    </row>
    <row r="1003" spans="1:10" ht="18" customHeight="1" x14ac:dyDescent="0.35">
      <c r="A1003" s="274">
        <f>MATCH(B1003,STUDIES!$A$3:$A$502,0)</f>
        <v>67</v>
      </c>
      <c r="B1003" s="86" t="s">
        <v>1573</v>
      </c>
      <c r="C1003" s="465"/>
      <c r="D1003" s="232" t="s">
        <v>1056</v>
      </c>
      <c r="E1003" s="272" t="s">
        <v>1244</v>
      </c>
      <c r="F1003" s="155" t="str">
        <f>_xlfn.XLOOKUP(B1003,STUDIES!$A$3:$A$1063,STUDIES!$G$3:$G$1063,"Not Found!")</f>
        <v>A</v>
      </c>
      <c r="G1003" s="273" t="s">
        <v>152</v>
      </c>
      <c r="H1003" s="273">
        <v>26</v>
      </c>
      <c r="I1003" s="273">
        <v>361</v>
      </c>
      <c r="J1003" s="274">
        <f>0.476*361</f>
        <v>171.83599999999998</v>
      </c>
    </row>
    <row r="1004" spans="1:10" ht="18" customHeight="1" x14ac:dyDescent="0.35">
      <c r="A1004" s="274">
        <f>MATCH(B1004,STUDIES!$A$3:$A$502,0)</f>
        <v>67</v>
      </c>
      <c r="B1004" s="86" t="s">
        <v>1573</v>
      </c>
      <c r="C1004" s="465"/>
      <c r="D1004" s="82" t="s">
        <v>1089</v>
      </c>
      <c r="E1004" s="272" t="s">
        <v>1243</v>
      </c>
      <c r="F1004" s="155" t="str">
        <f>_xlfn.XLOOKUP(B1004,STUDIES!$A$3:$A$1063,STUDIES!$G$3:$G$1063,"Not Found!")</f>
        <v>A</v>
      </c>
      <c r="G1004" s="273" t="s">
        <v>147</v>
      </c>
      <c r="H1004" s="273">
        <v>16</v>
      </c>
      <c r="I1004" s="273">
        <v>357</v>
      </c>
      <c r="J1004" s="274">
        <f>0.773*357</f>
        <v>275.96100000000001</v>
      </c>
    </row>
    <row r="1005" spans="1:10" ht="18" customHeight="1" x14ac:dyDescent="0.35">
      <c r="A1005" s="274">
        <f>MATCH(B1005,STUDIES!$A$3:$A$502,0)</f>
        <v>67</v>
      </c>
      <c r="B1005" s="86" t="s">
        <v>1573</v>
      </c>
      <c r="C1005" s="465"/>
      <c r="D1005" s="232" t="s">
        <v>1056</v>
      </c>
      <c r="E1005" s="272" t="s">
        <v>1243</v>
      </c>
      <c r="F1005" s="155" t="str">
        <f>_xlfn.XLOOKUP(B1005,STUDIES!$A$3:$A$1063,STUDIES!$G$3:$G$1063,"Not Found!")</f>
        <v>A</v>
      </c>
      <c r="G1005" s="273" t="s">
        <v>147</v>
      </c>
      <c r="H1005" s="273">
        <v>16</v>
      </c>
      <c r="I1005" s="273">
        <v>360</v>
      </c>
      <c r="J1005" s="274">
        <f>360*0.678</f>
        <v>244.08</v>
      </c>
    </row>
    <row r="1006" spans="1:10" ht="18" customHeight="1" x14ac:dyDescent="0.35">
      <c r="A1006" s="274">
        <f>MATCH(B1006,STUDIES!$A$3:$A$502,0)</f>
        <v>67</v>
      </c>
      <c r="B1006" s="86" t="s">
        <v>1573</v>
      </c>
      <c r="C1006" s="465"/>
      <c r="D1006" s="82" t="s">
        <v>1089</v>
      </c>
      <c r="E1006" s="272" t="s">
        <v>1243</v>
      </c>
      <c r="F1006" s="155" t="str">
        <f>_xlfn.XLOOKUP(B1006,STUDIES!$A$3:$A$1063,STUDIES!$G$3:$G$1063,"Not Found!")</f>
        <v>A</v>
      </c>
      <c r="G1006" s="273" t="s">
        <v>152</v>
      </c>
      <c r="H1006" s="273">
        <v>26</v>
      </c>
      <c r="I1006" s="273">
        <v>348</v>
      </c>
      <c r="J1006" s="274">
        <f>0.73*348</f>
        <v>254.04</v>
      </c>
    </row>
    <row r="1007" spans="1:10" ht="18" customHeight="1" x14ac:dyDescent="0.35">
      <c r="A1007" s="274">
        <f>MATCH(B1007,STUDIES!$A$3:$A$502,0)</f>
        <v>67</v>
      </c>
      <c r="B1007" s="86" t="s">
        <v>1573</v>
      </c>
      <c r="C1007" s="465"/>
      <c r="D1007" s="232" t="s">
        <v>1056</v>
      </c>
      <c r="E1007" s="272" t="s">
        <v>1243</v>
      </c>
      <c r="F1007" s="155" t="str">
        <f>_xlfn.XLOOKUP(B1007,STUDIES!$A$3:$A$1063,STUDIES!$G$3:$G$1063,"Not Found!")</f>
        <v>A</v>
      </c>
      <c r="G1007" s="273" t="s">
        <v>152</v>
      </c>
      <c r="H1007" s="273">
        <v>26</v>
      </c>
      <c r="I1007" s="273">
        <v>361</v>
      </c>
      <c r="J1007" s="274">
        <f>0.723*361</f>
        <v>261.00299999999999</v>
      </c>
    </row>
    <row r="1008" spans="1:10" ht="18" customHeight="1" x14ac:dyDescent="0.35">
      <c r="A1008" s="274">
        <f>MATCH(B1008,STUDIES!$A$3:$A$502,0)</f>
        <v>67</v>
      </c>
      <c r="B1008" s="86" t="s">
        <v>1573</v>
      </c>
      <c r="C1008" s="465"/>
      <c r="D1008" s="82" t="s">
        <v>1089</v>
      </c>
      <c r="E1008" s="272" t="s">
        <v>1268</v>
      </c>
      <c r="F1008" s="155" t="str">
        <f>_xlfn.XLOOKUP(B1008,STUDIES!$A$3:$A$1063,STUDIES!$G$3:$G$1063,"Not Found!")</f>
        <v>A</v>
      </c>
      <c r="G1008" s="273" t="s">
        <v>147</v>
      </c>
      <c r="H1008" s="273">
        <v>16</v>
      </c>
      <c r="I1008" s="273">
        <v>358</v>
      </c>
      <c r="J1008" s="274">
        <f>0.553*358</f>
        <v>197.97400000000002</v>
      </c>
    </row>
    <row r="1009" spans="1:23" ht="18" customHeight="1" x14ac:dyDescent="0.35">
      <c r="A1009" s="274">
        <f>MATCH(B1009,STUDIES!$A$3:$A$502,0)</f>
        <v>67</v>
      </c>
      <c r="B1009" s="86" t="s">
        <v>1573</v>
      </c>
      <c r="C1009" s="465"/>
      <c r="D1009" s="232" t="s">
        <v>1056</v>
      </c>
      <c r="E1009" s="272" t="s">
        <v>1268</v>
      </c>
      <c r="F1009" s="155" t="str">
        <f>_xlfn.XLOOKUP(B1009,STUDIES!$A$3:$A$1063,STUDIES!$G$3:$G$1063,"Not Found!")</f>
        <v>A</v>
      </c>
      <c r="G1009" s="273" t="s">
        <v>147</v>
      </c>
      <c r="H1009" s="273">
        <v>16</v>
      </c>
      <c r="I1009" s="273">
        <v>360</v>
      </c>
      <c r="J1009" s="274">
        <f>0.425*360</f>
        <v>153</v>
      </c>
    </row>
    <row r="1010" spans="1:23" ht="18" customHeight="1" x14ac:dyDescent="0.35">
      <c r="A1010" s="274">
        <f>MATCH(B1010,STUDIES!$A$3:$A$502,0)</f>
        <v>67</v>
      </c>
      <c r="B1010" s="86" t="s">
        <v>1573</v>
      </c>
      <c r="C1010" s="465"/>
      <c r="D1010" s="82" t="s">
        <v>1089</v>
      </c>
      <c r="E1010" s="272" t="s">
        <v>1268</v>
      </c>
      <c r="F1010" s="155" t="str">
        <f>_xlfn.XLOOKUP(B1010,STUDIES!$A$3:$A$1063,STUDIES!$G$3:$G$1063,"Not Found!")</f>
        <v>A</v>
      </c>
      <c r="G1010" s="273" t="s">
        <v>152</v>
      </c>
      <c r="H1010" s="273">
        <v>26</v>
      </c>
      <c r="I1010" s="273">
        <v>347</v>
      </c>
      <c r="J1010" s="274">
        <f>0.556*347</f>
        <v>192.93200000000002</v>
      </c>
    </row>
    <row r="1011" spans="1:23" ht="18" customHeight="1" x14ac:dyDescent="0.35">
      <c r="A1011" s="274">
        <f>MATCH(B1011,STUDIES!$A$3:$A$502,0)</f>
        <v>67</v>
      </c>
      <c r="B1011" s="86" t="s">
        <v>1573</v>
      </c>
      <c r="C1011" s="465"/>
      <c r="D1011" s="232" t="s">
        <v>1056</v>
      </c>
      <c r="E1011" s="272" t="s">
        <v>1268</v>
      </c>
      <c r="F1011" s="155" t="str">
        <f>_xlfn.XLOOKUP(B1011,STUDIES!$A$3:$A$1063,STUDIES!$G$3:$G$1063,"Not Found!")</f>
        <v>A</v>
      </c>
      <c r="G1011" s="273" t="s">
        <v>152</v>
      </c>
      <c r="H1011" s="273">
        <v>26</v>
      </c>
      <c r="I1011" s="273">
        <v>362</v>
      </c>
      <c r="J1011" s="274">
        <f>0.511*362</f>
        <v>184.982</v>
      </c>
    </row>
    <row r="1012" spans="1:23" ht="18" customHeight="1" x14ac:dyDescent="0.35">
      <c r="A1012" s="274">
        <f>MATCH(B1012,STUDIES!$A$3:$A$502,0)</f>
        <v>67</v>
      </c>
      <c r="B1012" s="86" t="s">
        <v>1573</v>
      </c>
      <c r="C1012" s="465"/>
      <c r="D1012" s="82" t="s">
        <v>1089</v>
      </c>
      <c r="E1012" s="272" t="s">
        <v>154</v>
      </c>
      <c r="F1012" s="155" t="str">
        <f>_xlfn.XLOOKUP(B1012,STUDIES!$A$3:$A$1063,STUDIES!$G$3:$G$1063,"Not Found!")</f>
        <v>A</v>
      </c>
      <c r="G1012" s="273" t="s">
        <v>147</v>
      </c>
      <c r="H1012" s="273">
        <v>16</v>
      </c>
      <c r="I1012" s="273">
        <v>361</v>
      </c>
      <c r="R1012" s="283">
        <v>-10.8</v>
      </c>
      <c r="U1012" s="268">
        <v>-11.2</v>
      </c>
      <c r="V1012" s="268">
        <v>-10.4</v>
      </c>
      <c r="W1012" s="268">
        <v>0.95</v>
      </c>
    </row>
    <row r="1013" spans="1:23" ht="18" customHeight="1" x14ac:dyDescent="0.35">
      <c r="A1013" s="274">
        <f>MATCH(B1013,STUDIES!$A$3:$A$502,0)</f>
        <v>67</v>
      </c>
      <c r="B1013" s="86" t="s">
        <v>1573</v>
      </c>
      <c r="C1013" s="465"/>
      <c r="D1013" s="232" t="s">
        <v>1056</v>
      </c>
      <c r="E1013" s="272" t="s">
        <v>154</v>
      </c>
      <c r="F1013" s="155" t="str">
        <f>_xlfn.XLOOKUP(B1013,STUDIES!$A$3:$A$1063,STUDIES!$G$3:$G$1063,"Not Found!")</f>
        <v>A</v>
      </c>
      <c r="G1013" s="273" t="s">
        <v>147</v>
      </c>
      <c r="H1013" s="273">
        <v>16</v>
      </c>
      <c r="I1013" s="273">
        <v>363</v>
      </c>
      <c r="R1013" s="283">
        <v>-10</v>
      </c>
      <c r="U1013" s="268">
        <v>-10.5</v>
      </c>
      <c r="V1013" s="268">
        <v>-9.6</v>
      </c>
      <c r="W1013" s="268">
        <v>0.95</v>
      </c>
    </row>
    <row r="1014" spans="1:23" ht="18" customHeight="1" x14ac:dyDescent="0.35">
      <c r="A1014" s="274">
        <f>MATCH(B1014,STUDIES!$A$3:$A$502,0)</f>
        <v>67</v>
      </c>
      <c r="B1014" s="86" t="s">
        <v>1573</v>
      </c>
      <c r="C1014" s="465"/>
      <c r="D1014" s="82" t="s">
        <v>1089</v>
      </c>
      <c r="E1014" s="272" t="s">
        <v>154</v>
      </c>
      <c r="F1014" s="155" t="str">
        <f>_xlfn.XLOOKUP(B1014,STUDIES!$A$3:$A$1063,STUDIES!$G$3:$G$1063,"Not Found!")</f>
        <v>A</v>
      </c>
      <c r="G1014" s="273" t="s">
        <v>152</v>
      </c>
      <c r="H1014" s="273">
        <v>26</v>
      </c>
      <c r="I1014" s="273">
        <v>361</v>
      </c>
      <c r="R1014" s="283">
        <v>-10.3</v>
      </c>
      <c r="U1014" s="268">
        <v>-10.8</v>
      </c>
      <c r="V1014" s="268">
        <v>-9.9</v>
      </c>
      <c r="W1014" s="268">
        <v>0.95</v>
      </c>
    </row>
    <row r="1015" spans="1:23" ht="18" customHeight="1" x14ac:dyDescent="0.35">
      <c r="A1015" s="274">
        <f>MATCH(B1015,STUDIES!$A$3:$A$502,0)</f>
        <v>67</v>
      </c>
      <c r="B1015" s="86" t="s">
        <v>1573</v>
      </c>
      <c r="C1015" s="465"/>
      <c r="D1015" s="232" t="s">
        <v>1056</v>
      </c>
      <c r="E1015" s="272" t="s">
        <v>154</v>
      </c>
      <c r="F1015" s="155" t="str">
        <f>_xlfn.XLOOKUP(B1015,STUDIES!$A$3:$A$1063,STUDIES!$G$3:$G$1063,"Not Found!")</f>
        <v>A</v>
      </c>
      <c r="G1015" s="273" t="s">
        <v>152</v>
      </c>
      <c r="H1015" s="273">
        <v>26</v>
      </c>
      <c r="I1015" s="273">
        <v>363</v>
      </c>
      <c r="R1015" s="283">
        <v>-10</v>
      </c>
      <c r="U1015" s="268">
        <v>-10.5</v>
      </c>
      <c r="V1015" s="268">
        <v>-9.6</v>
      </c>
      <c r="W1015" s="268">
        <v>0.95</v>
      </c>
    </row>
    <row r="1016" spans="1:23" ht="18" customHeight="1" x14ac:dyDescent="0.35">
      <c r="A1016" s="274">
        <f>MATCH(B1016,STUDIES!$A$3:$A$502,0)</f>
        <v>67</v>
      </c>
      <c r="B1016" s="86" t="s">
        <v>1573</v>
      </c>
      <c r="C1016" s="465"/>
      <c r="D1016" s="82" t="s">
        <v>1089</v>
      </c>
      <c r="E1016" s="272" t="s">
        <v>153</v>
      </c>
      <c r="F1016" s="155" t="str">
        <f>_xlfn.XLOOKUP(B1016,STUDIES!$A$3:$A$1063,STUDIES!$G$3:$G$1063,"Not Found!")</f>
        <v>A</v>
      </c>
      <c r="G1016" s="273" t="s">
        <v>147</v>
      </c>
      <c r="H1016" s="273">
        <v>16</v>
      </c>
      <c r="I1016" s="273">
        <v>362</v>
      </c>
      <c r="R1016" s="283">
        <v>-14.2</v>
      </c>
      <c r="U1016" s="268">
        <v>-14.8</v>
      </c>
      <c r="V1016" s="268">
        <v>-13.6</v>
      </c>
      <c r="W1016" s="268">
        <v>0.95</v>
      </c>
    </row>
    <row r="1017" spans="1:23" ht="18" customHeight="1" x14ac:dyDescent="0.35">
      <c r="A1017" s="274">
        <f>MATCH(B1017,STUDIES!$A$3:$A$502,0)</f>
        <v>67</v>
      </c>
      <c r="B1017" s="86" t="s">
        <v>1573</v>
      </c>
      <c r="C1017" s="465"/>
      <c r="D1017" s="232" t="s">
        <v>1056</v>
      </c>
      <c r="E1017" s="272" t="s">
        <v>153</v>
      </c>
      <c r="F1017" s="155" t="str">
        <f>_xlfn.XLOOKUP(B1017,STUDIES!$A$3:$A$1063,STUDIES!$G$3:$G$1063,"Not Found!")</f>
        <v>A</v>
      </c>
      <c r="G1017" s="273" t="s">
        <v>147</v>
      </c>
      <c r="H1017" s="273">
        <v>16</v>
      </c>
      <c r="I1017" s="273">
        <v>365</v>
      </c>
      <c r="R1017" s="283">
        <v>-12.8</v>
      </c>
      <c r="U1017" s="268">
        <v>-13.4</v>
      </c>
      <c r="V1017" s="268">
        <v>-12.2</v>
      </c>
      <c r="W1017" s="268">
        <v>0.95</v>
      </c>
    </row>
    <row r="1018" spans="1:23" ht="18" customHeight="1" x14ac:dyDescent="0.35">
      <c r="A1018" s="274">
        <f>MATCH(B1018,STUDIES!$A$3:$A$502,0)</f>
        <v>67</v>
      </c>
      <c r="B1018" s="86" t="s">
        <v>1573</v>
      </c>
      <c r="C1018" s="465"/>
      <c r="D1018" s="82" t="s">
        <v>1089</v>
      </c>
      <c r="E1018" s="272" t="s">
        <v>153</v>
      </c>
      <c r="F1018" s="155" t="str">
        <f>_xlfn.XLOOKUP(B1018,STUDIES!$A$3:$A$1063,STUDIES!$G$3:$G$1063,"Not Found!")</f>
        <v>A</v>
      </c>
      <c r="G1018" s="273" t="s">
        <v>152</v>
      </c>
      <c r="H1018" s="273">
        <v>26</v>
      </c>
      <c r="I1018" s="273">
        <v>362</v>
      </c>
      <c r="R1018" s="283">
        <v>-13.8</v>
      </c>
      <c r="U1018" s="268">
        <v>-14.5</v>
      </c>
      <c r="V1018" s="268">
        <v>-13.1</v>
      </c>
      <c r="W1018" s="268">
        <v>0.95</v>
      </c>
    </row>
    <row r="1019" spans="1:23" ht="18" customHeight="1" x14ac:dyDescent="0.35">
      <c r="A1019" s="274">
        <f>MATCH(B1019,STUDIES!$A$3:$A$502,0)</f>
        <v>67</v>
      </c>
      <c r="B1019" s="86" t="s">
        <v>1573</v>
      </c>
      <c r="C1019" s="465"/>
      <c r="D1019" s="232" t="s">
        <v>1056</v>
      </c>
      <c r="E1019" s="272" t="s">
        <v>153</v>
      </c>
      <c r="F1019" s="155" t="str">
        <f>_xlfn.XLOOKUP(B1019,STUDIES!$A$3:$A$1063,STUDIES!$G$3:$G$1063,"Not Found!")</f>
        <v>A</v>
      </c>
      <c r="G1019" s="273" t="s">
        <v>152</v>
      </c>
      <c r="H1019" s="273">
        <v>26</v>
      </c>
      <c r="I1019" s="273">
        <v>365</v>
      </c>
      <c r="R1019" s="283">
        <v>-13.4</v>
      </c>
      <c r="U1019" s="268">
        <v>-14</v>
      </c>
      <c r="V1019" s="268">
        <v>-12.7</v>
      </c>
      <c r="W1019" s="268">
        <v>0.95</v>
      </c>
    </row>
    <row r="1020" spans="1:23" ht="18" customHeight="1" x14ac:dyDescent="0.35">
      <c r="A1020" s="274">
        <f>MATCH(B1020,STUDIES!$A$3:$A$502,0)</f>
        <v>67</v>
      </c>
      <c r="B1020" s="86" t="s">
        <v>1573</v>
      </c>
      <c r="C1020" s="465"/>
      <c r="D1020" s="82" t="s">
        <v>1089</v>
      </c>
      <c r="E1020" s="272" t="s">
        <v>1163</v>
      </c>
      <c r="F1020" s="155" t="str">
        <f>_xlfn.XLOOKUP(B1020,STUDIES!$A$3:$A$1063,STUDIES!$G$3:$G$1063,"Not Found!")</f>
        <v>A</v>
      </c>
      <c r="G1020" s="273" t="s">
        <v>152</v>
      </c>
      <c r="H1020" s="273">
        <v>26</v>
      </c>
      <c r="I1020" s="273">
        <v>362</v>
      </c>
      <c r="J1020" s="274">
        <v>6</v>
      </c>
    </row>
    <row r="1021" spans="1:23" ht="18" customHeight="1" x14ac:dyDescent="0.35">
      <c r="A1021" s="274">
        <f>MATCH(B1021,STUDIES!$A$3:$A$502,0)</f>
        <v>67</v>
      </c>
      <c r="B1021" s="86" t="s">
        <v>1573</v>
      </c>
      <c r="C1021" s="465"/>
      <c r="D1021" s="232" t="s">
        <v>1056</v>
      </c>
      <c r="E1021" s="272" t="s">
        <v>1163</v>
      </c>
      <c r="F1021" s="155" t="str">
        <f>_xlfn.XLOOKUP(B1021,STUDIES!$A$3:$A$1063,STUDIES!$G$3:$G$1063,"Not Found!")</f>
        <v>A</v>
      </c>
      <c r="G1021" s="273" t="s">
        <v>152</v>
      </c>
      <c r="H1021" s="273">
        <v>26</v>
      </c>
      <c r="I1021" s="273">
        <v>365</v>
      </c>
      <c r="J1021" s="274">
        <v>6</v>
      </c>
    </row>
    <row r="1022" spans="1:23" ht="18" customHeight="1" x14ac:dyDescent="0.35">
      <c r="A1022" s="274">
        <f>MATCH(B1022,STUDIES!$A$3:$A$502,0)</f>
        <v>67</v>
      </c>
      <c r="B1022" s="86" t="s">
        <v>1573</v>
      </c>
      <c r="C1022" s="465"/>
      <c r="D1022" s="82" t="s">
        <v>1089</v>
      </c>
      <c r="E1022" s="272" t="s">
        <v>1167</v>
      </c>
      <c r="F1022" s="155" t="str">
        <f>_xlfn.XLOOKUP(B1022,STUDIES!$A$3:$A$1063,STUDIES!$G$3:$G$1063,"Not Found!")</f>
        <v>A</v>
      </c>
      <c r="G1022" s="273" t="s">
        <v>152</v>
      </c>
      <c r="H1022" s="273">
        <v>26</v>
      </c>
      <c r="I1022" s="273">
        <v>362</v>
      </c>
      <c r="J1022" s="274">
        <v>10</v>
      </c>
    </row>
    <row r="1023" spans="1:23" ht="18" customHeight="1" x14ac:dyDescent="0.35">
      <c r="A1023" s="274">
        <f>MATCH(B1023,STUDIES!$A$3:$A$502,0)</f>
        <v>67</v>
      </c>
      <c r="B1023" s="86" t="s">
        <v>1573</v>
      </c>
      <c r="C1023" s="465"/>
      <c r="D1023" s="232" t="s">
        <v>1056</v>
      </c>
      <c r="E1023" s="272" t="s">
        <v>1167</v>
      </c>
      <c r="F1023" s="155" t="str">
        <f>_xlfn.XLOOKUP(B1023,STUDIES!$A$3:$A$1063,STUDIES!$G$3:$G$1063,"Not Found!")</f>
        <v>A</v>
      </c>
      <c r="G1023" s="273" t="s">
        <v>152</v>
      </c>
      <c r="H1023" s="273">
        <v>26</v>
      </c>
      <c r="I1023" s="273">
        <v>365</v>
      </c>
      <c r="J1023" s="274">
        <v>9</v>
      </c>
    </row>
    <row r="1024" spans="1:23" ht="18" customHeight="1" x14ac:dyDescent="0.35">
      <c r="A1024" s="274">
        <f>MATCH(B1024,STUDIES!$A$3:$A$502,0)</f>
        <v>59</v>
      </c>
      <c r="B1024" s="272" t="s">
        <v>1203</v>
      </c>
      <c r="C1024" s="435">
        <v>1</v>
      </c>
      <c r="D1024" s="281" t="s">
        <v>148</v>
      </c>
      <c r="E1024" s="272" t="s">
        <v>1243</v>
      </c>
      <c r="F1024" s="155" t="s">
        <v>1642</v>
      </c>
      <c r="G1024" s="273" t="s">
        <v>147</v>
      </c>
      <c r="H1024" s="273">
        <v>16</v>
      </c>
      <c r="I1024" s="273">
        <v>63</v>
      </c>
      <c r="J1024" s="274">
        <f>0.303*63</f>
        <v>19.088999999999999</v>
      </c>
    </row>
    <row r="1025" spans="1:41" ht="18" customHeight="1" x14ac:dyDescent="0.35">
      <c r="A1025" s="274">
        <f>MATCH(B1025,STUDIES!$A$3:$A$502,0)</f>
        <v>59</v>
      </c>
      <c r="B1025" s="272" t="s">
        <v>1203</v>
      </c>
      <c r="C1025" s="435">
        <v>1</v>
      </c>
      <c r="D1025" s="281" t="s">
        <v>1098</v>
      </c>
      <c r="E1025" s="272" t="s">
        <v>1243</v>
      </c>
      <c r="F1025" s="155" t="s">
        <v>1642</v>
      </c>
      <c r="G1025" s="273" t="s">
        <v>147</v>
      </c>
      <c r="H1025" s="273">
        <v>16</v>
      </c>
      <c r="I1025" s="273">
        <v>60</v>
      </c>
      <c r="J1025" s="274">
        <f>0.633*60</f>
        <v>37.980000000000004</v>
      </c>
    </row>
    <row r="1026" spans="1:41" ht="18" customHeight="1" x14ac:dyDescent="0.35">
      <c r="A1026" s="274">
        <f>MATCH(B1026,STUDIES!$A$3:$A$502,0)</f>
        <v>59</v>
      </c>
      <c r="B1026" s="272" t="s">
        <v>1203</v>
      </c>
      <c r="C1026" s="435">
        <v>1</v>
      </c>
      <c r="D1026" s="281" t="s">
        <v>1099</v>
      </c>
      <c r="E1026" s="272" t="s">
        <v>1243</v>
      </c>
      <c r="F1026" s="155" t="s">
        <v>1642</v>
      </c>
      <c r="G1026" s="273" t="s">
        <v>147</v>
      </c>
      <c r="H1026" s="273">
        <v>16</v>
      </c>
      <c r="I1026" s="273">
        <v>60</v>
      </c>
      <c r="J1026" s="274">
        <f>0.843*60</f>
        <v>50.58</v>
      </c>
    </row>
    <row r="1027" spans="1:41" ht="18" customHeight="1" x14ac:dyDescent="0.35">
      <c r="A1027" s="274">
        <f>MATCH(B1027,STUDIES!$A$3:$A$502,0)</f>
        <v>59</v>
      </c>
      <c r="B1027" s="272" t="s">
        <v>1203</v>
      </c>
      <c r="C1027" s="435">
        <v>1</v>
      </c>
      <c r="D1027" s="281" t="s">
        <v>148</v>
      </c>
      <c r="E1027" s="272" t="s">
        <v>1268</v>
      </c>
      <c r="F1027" s="155" t="s">
        <v>1642</v>
      </c>
      <c r="G1027" s="273" t="s">
        <v>147</v>
      </c>
      <c r="H1027" s="273">
        <v>16</v>
      </c>
      <c r="I1027" s="273">
        <v>63</v>
      </c>
      <c r="J1027" s="274">
        <f>0.112*63</f>
        <v>7.056</v>
      </c>
    </row>
    <row r="1028" spans="1:41" ht="18" customHeight="1" x14ac:dyDescent="0.35">
      <c r="A1028" s="274">
        <f>MATCH(B1028,STUDIES!$A$3:$A$502,0)</f>
        <v>59</v>
      </c>
      <c r="B1028" s="272" t="s">
        <v>1203</v>
      </c>
      <c r="C1028" s="435">
        <v>1</v>
      </c>
      <c r="D1028" s="281" t="s">
        <v>1098</v>
      </c>
      <c r="E1028" s="272" t="s">
        <v>1268</v>
      </c>
      <c r="F1028" s="155" t="s">
        <v>1642</v>
      </c>
      <c r="G1028" s="273" t="s">
        <v>147</v>
      </c>
      <c r="H1028" s="273">
        <v>16</v>
      </c>
      <c r="I1028" s="273">
        <v>60</v>
      </c>
      <c r="J1028" s="274">
        <f>0.383*60</f>
        <v>22.98</v>
      </c>
    </row>
    <row r="1029" spans="1:41" ht="18" customHeight="1" x14ac:dyDescent="0.35">
      <c r="A1029" s="274">
        <f>MATCH(B1029,STUDIES!$A$3:$A$502,0)</f>
        <v>59</v>
      </c>
      <c r="B1029" s="272" t="s">
        <v>1203</v>
      </c>
      <c r="C1029" s="435">
        <v>1</v>
      </c>
      <c r="D1029" s="281" t="s">
        <v>1099</v>
      </c>
      <c r="E1029" s="272" t="s">
        <v>1268</v>
      </c>
      <c r="F1029" s="155" t="s">
        <v>1642</v>
      </c>
      <c r="G1029" s="273" t="s">
        <v>147</v>
      </c>
      <c r="H1029" s="273">
        <v>16</v>
      </c>
      <c r="I1029" s="273">
        <v>60</v>
      </c>
      <c r="J1029" s="274">
        <f>0.674*60</f>
        <v>40.440000000000005</v>
      </c>
    </row>
    <row r="1030" spans="1:41" ht="18" customHeight="1" x14ac:dyDescent="0.35">
      <c r="A1030" s="274">
        <f>MATCH(B1030,STUDIES!$A$3:$A$502,0)</f>
        <v>59</v>
      </c>
      <c r="B1030" s="272" t="s">
        <v>1203</v>
      </c>
      <c r="C1030" s="435">
        <v>1</v>
      </c>
      <c r="D1030" s="281" t="s">
        <v>148</v>
      </c>
      <c r="E1030" s="272" t="s">
        <v>1244</v>
      </c>
      <c r="F1030" s="155" t="s">
        <v>1642</v>
      </c>
      <c r="G1030" s="273" t="s">
        <v>147</v>
      </c>
      <c r="H1030" s="273">
        <v>16</v>
      </c>
      <c r="I1030" s="273">
        <v>63</v>
      </c>
      <c r="J1030" s="274">
        <f>0.207*63</f>
        <v>13.040999999999999</v>
      </c>
    </row>
    <row r="1031" spans="1:41" ht="18" customHeight="1" x14ac:dyDescent="0.35">
      <c r="A1031" s="274">
        <f>MATCH(B1031,STUDIES!$A$3:$A$502,0)</f>
        <v>59</v>
      </c>
      <c r="B1031" s="272" t="s">
        <v>1203</v>
      </c>
      <c r="C1031" s="435">
        <v>1</v>
      </c>
      <c r="D1031" s="281" t="s">
        <v>1098</v>
      </c>
      <c r="E1031" s="272" t="s">
        <v>1244</v>
      </c>
      <c r="F1031" s="155" t="s">
        <v>1642</v>
      </c>
      <c r="G1031" s="273" t="s">
        <v>147</v>
      </c>
      <c r="H1031" s="273">
        <v>16</v>
      </c>
      <c r="I1031" s="273">
        <v>60</v>
      </c>
      <c r="J1031" s="274">
        <f>0.483*60</f>
        <v>28.98</v>
      </c>
    </row>
    <row r="1032" spans="1:41" ht="18" customHeight="1" x14ac:dyDescent="0.35">
      <c r="A1032" s="274">
        <f>MATCH(B1032,STUDIES!$A$3:$A$502,0)</f>
        <v>59</v>
      </c>
      <c r="B1032" s="272" t="s">
        <v>1203</v>
      </c>
      <c r="C1032" s="435">
        <v>1</v>
      </c>
      <c r="D1032" s="281" t="s">
        <v>1099</v>
      </c>
      <c r="E1032" s="272" t="s">
        <v>1244</v>
      </c>
      <c r="F1032" s="155" t="s">
        <v>1642</v>
      </c>
      <c r="G1032" s="273" t="s">
        <v>147</v>
      </c>
      <c r="H1032" s="273">
        <v>16</v>
      </c>
      <c r="I1032" s="273">
        <v>60</v>
      </c>
      <c r="J1032" s="274">
        <f>0.736*60</f>
        <v>44.16</v>
      </c>
    </row>
    <row r="1033" spans="1:41" ht="18" customHeight="1" x14ac:dyDescent="0.35">
      <c r="A1033" s="274">
        <f>MATCH(B1033,STUDIES!$A$3:$A$502,0)</f>
        <v>59</v>
      </c>
      <c r="B1033" s="272" t="s">
        <v>1203</v>
      </c>
      <c r="C1033" s="435">
        <v>1</v>
      </c>
      <c r="D1033" s="281" t="s">
        <v>148</v>
      </c>
      <c r="E1033" s="272" t="s">
        <v>151</v>
      </c>
      <c r="F1033" s="155" t="s">
        <v>1642</v>
      </c>
      <c r="G1033" s="273" t="s">
        <v>147</v>
      </c>
      <c r="H1033" s="273">
        <v>16</v>
      </c>
      <c r="I1033" s="273">
        <v>63</v>
      </c>
      <c r="K1033" s="268">
        <v>30.25</v>
      </c>
      <c r="M1033" s="268">
        <v>12.105</v>
      </c>
      <c r="AJ1033" s="276">
        <v>-53.53</v>
      </c>
      <c r="AM1033" s="268">
        <v>-61.23</v>
      </c>
      <c r="AN1033" s="268">
        <v>-45.82</v>
      </c>
      <c r="AO1033" s="275">
        <v>0.95</v>
      </c>
    </row>
    <row r="1034" spans="1:41" ht="18" customHeight="1" x14ac:dyDescent="0.35">
      <c r="A1034" s="274">
        <f>MATCH(B1034,STUDIES!$A$3:$A$502,0)</f>
        <v>59</v>
      </c>
      <c r="B1034" s="272" t="s">
        <v>1203</v>
      </c>
      <c r="C1034" s="435">
        <v>1</v>
      </c>
      <c r="D1034" s="281" t="s">
        <v>1098</v>
      </c>
      <c r="E1034" s="272" t="s">
        <v>151</v>
      </c>
      <c r="F1034" s="155" t="s">
        <v>1642</v>
      </c>
      <c r="G1034" s="273" t="s">
        <v>147</v>
      </c>
      <c r="H1034" s="273">
        <v>16</v>
      </c>
      <c r="I1034" s="273">
        <v>60</v>
      </c>
      <c r="K1034" s="268">
        <v>29.59</v>
      </c>
      <c r="M1034" s="268">
        <v>11.683</v>
      </c>
      <c r="AJ1034" s="276">
        <v>-77.900000000000006</v>
      </c>
      <c r="AM1034" s="268">
        <v>-85.36</v>
      </c>
      <c r="AN1034" s="268">
        <v>-70.44</v>
      </c>
      <c r="AO1034" s="275">
        <v>0.95</v>
      </c>
    </row>
    <row r="1035" spans="1:41" ht="18" customHeight="1" x14ac:dyDescent="0.35">
      <c r="A1035" s="274">
        <f>MATCH(B1035,STUDIES!$A$3:$A$502,0)</f>
        <v>59</v>
      </c>
      <c r="B1035" s="272" t="s">
        <v>1203</v>
      </c>
      <c r="C1035" s="435">
        <v>1</v>
      </c>
      <c r="D1035" s="281" t="s">
        <v>1099</v>
      </c>
      <c r="E1035" s="272" t="s">
        <v>151</v>
      </c>
      <c r="F1035" s="155" t="s">
        <v>1642</v>
      </c>
      <c r="G1035" s="273" t="s">
        <v>147</v>
      </c>
      <c r="H1035" s="273">
        <v>16</v>
      </c>
      <c r="I1035" s="273">
        <v>60</v>
      </c>
      <c r="K1035" s="268">
        <v>28.68</v>
      </c>
      <c r="M1035" s="268">
        <v>10.143000000000001</v>
      </c>
      <c r="AJ1035" s="276">
        <v>-89.22</v>
      </c>
      <c r="AM1035" s="268">
        <v>-96.49</v>
      </c>
      <c r="AN1035" s="268">
        <v>-81.95</v>
      </c>
      <c r="AO1035" s="275">
        <v>0.95</v>
      </c>
    </row>
    <row r="1036" spans="1:41" ht="18" customHeight="1" x14ac:dyDescent="0.35">
      <c r="A1036" s="274">
        <f>MATCH(B1036,STUDIES!$A$3:$A$502,0)</f>
        <v>59</v>
      </c>
      <c r="B1036" s="272" t="s">
        <v>1203</v>
      </c>
      <c r="C1036" s="435">
        <v>1</v>
      </c>
      <c r="D1036" s="281" t="s">
        <v>148</v>
      </c>
      <c r="E1036" s="272" t="s">
        <v>1163</v>
      </c>
      <c r="F1036" s="155" t="s">
        <v>1642</v>
      </c>
      <c r="G1036" s="273" t="s">
        <v>147</v>
      </c>
      <c r="H1036" s="273">
        <v>16</v>
      </c>
      <c r="I1036" s="273">
        <v>62</v>
      </c>
      <c r="J1036" s="274">
        <v>0</v>
      </c>
    </row>
    <row r="1037" spans="1:41" ht="18" customHeight="1" x14ac:dyDescent="0.35">
      <c r="A1037" s="274">
        <f>MATCH(B1037,STUDIES!$A$3:$A$502,0)</f>
        <v>59</v>
      </c>
      <c r="B1037" s="272" t="s">
        <v>1203</v>
      </c>
      <c r="C1037" s="435">
        <v>1</v>
      </c>
      <c r="D1037" s="281" t="s">
        <v>1098</v>
      </c>
      <c r="E1037" s="272" t="s">
        <v>1163</v>
      </c>
      <c r="F1037" s="155" t="s">
        <v>1642</v>
      </c>
      <c r="G1037" s="273" t="s">
        <v>147</v>
      </c>
      <c r="H1037" s="273">
        <v>16</v>
      </c>
      <c r="I1037" s="273">
        <v>60</v>
      </c>
      <c r="J1037" s="274">
        <v>1</v>
      </c>
    </row>
    <row r="1038" spans="1:41" ht="18" customHeight="1" x14ac:dyDescent="0.35">
      <c r="A1038" s="274">
        <f>MATCH(B1038,STUDIES!$A$3:$A$502,0)</f>
        <v>59</v>
      </c>
      <c r="B1038" s="272" t="s">
        <v>1203</v>
      </c>
      <c r="C1038" s="435">
        <v>1</v>
      </c>
      <c r="D1038" s="281" t="s">
        <v>1099</v>
      </c>
      <c r="E1038" s="272" t="s">
        <v>1163</v>
      </c>
      <c r="F1038" s="155" t="s">
        <v>1642</v>
      </c>
      <c r="G1038" s="273" t="s">
        <v>147</v>
      </c>
      <c r="H1038" s="273">
        <v>16</v>
      </c>
      <c r="I1038" s="273">
        <v>60</v>
      </c>
      <c r="J1038" s="274">
        <v>0</v>
      </c>
    </row>
    <row r="1039" spans="1:41" ht="18" customHeight="1" x14ac:dyDescent="0.35">
      <c r="A1039" s="274">
        <f>MATCH(B1039,STUDIES!$A$3:$A$502,0)</f>
        <v>59</v>
      </c>
      <c r="B1039" s="272" t="s">
        <v>1203</v>
      </c>
      <c r="C1039" s="435">
        <v>1</v>
      </c>
      <c r="D1039" s="281" t="s">
        <v>148</v>
      </c>
      <c r="E1039" s="272" t="s">
        <v>1167</v>
      </c>
      <c r="F1039" s="155" t="s">
        <v>1642</v>
      </c>
      <c r="G1039" s="273" t="s">
        <v>147</v>
      </c>
      <c r="H1039" s="273">
        <v>16</v>
      </c>
      <c r="I1039" s="273">
        <v>63</v>
      </c>
      <c r="J1039" s="274">
        <v>1</v>
      </c>
    </row>
    <row r="1040" spans="1:41" ht="18" customHeight="1" x14ac:dyDescent="0.35">
      <c r="A1040" s="274">
        <f>MATCH(B1040,STUDIES!$A$3:$A$502,0)</f>
        <v>59</v>
      </c>
      <c r="B1040" s="272" t="s">
        <v>1203</v>
      </c>
      <c r="C1040" s="435">
        <v>1</v>
      </c>
      <c r="D1040" s="281" t="s">
        <v>1098</v>
      </c>
      <c r="E1040" s="272" t="s">
        <v>1167</v>
      </c>
      <c r="F1040" s="155" t="s">
        <v>1642</v>
      </c>
      <c r="G1040" s="273" t="s">
        <v>147</v>
      </c>
      <c r="H1040" s="273">
        <v>16</v>
      </c>
      <c r="I1040" s="273">
        <v>60</v>
      </c>
      <c r="J1040" s="274">
        <v>0</v>
      </c>
    </row>
    <row r="1041" spans="1:38" ht="18" customHeight="1" x14ac:dyDescent="0.35">
      <c r="A1041" s="274">
        <f>MATCH(B1041,STUDIES!$A$3:$A$502,0)</f>
        <v>59</v>
      </c>
      <c r="B1041" s="272" t="s">
        <v>1203</v>
      </c>
      <c r="C1041" s="435">
        <v>1</v>
      </c>
      <c r="D1041" s="281" t="s">
        <v>1099</v>
      </c>
      <c r="E1041" s="272" t="s">
        <v>1167</v>
      </c>
      <c r="F1041" s="155" t="s">
        <v>1642</v>
      </c>
      <c r="G1041" s="273" t="s">
        <v>147</v>
      </c>
      <c r="H1041" s="273">
        <v>16</v>
      </c>
      <c r="I1041" s="273">
        <v>60</v>
      </c>
      <c r="J1041" s="274">
        <v>0</v>
      </c>
    </row>
    <row r="1042" spans="1:38" ht="18" customHeight="1" x14ac:dyDescent="0.35">
      <c r="A1042" s="274">
        <f>MATCH(B1042,STUDIES!$A$3:$A$502,0)</f>
        <v>68</v>
      </c>
      <c r="B1042" s="86" t="s">
        <v>1335</v>
      </c>
      <c r="C1042" s="466"/>
      <c r="D1042" s="281" t="s">
        <v>148</v>
      </c>
      <c r="E1042" s="272" t="s">
        <v>1268</v>
      </c>
      <c r="F1042" s="155" t="str">
        <f>_xlfn.XLOOKUP(B1042,STUDIES!$A$3:$A$1063,STUDIES!$G$3:$G$1063,"Not Found!")</f>
        <v>A</v>
      </c>
      <c r="G1042" s="273" t="s">
        <v>147</v>
      </c>
      <c r="H1042" s="273">
        <v>16</v>
      </c>
      <c r="I1042" s="273">
        <v>102</v>
      </c>
      <c r="J1042" s="274">
        <v>15</v>
      </c>
    </row>
    <row r="1043" spans="1:38" ht="18" customHeight="1" x14ac:dyDescent="0.35">
      <c r="A1043" s="274">
        <f>MATCH(B1043,STUDIES!$A$3:$A$502,0)</f>
        <v>68</v>
      </c>
      <c r="B1043" s="86" t="s">
        <v>1335</v>
      </c>
      <c r="C1043" s="466"/>
      <c r="D1043" s="281" t="s">
        <v>1340</v>
      </c>
      <c r="E1043" s="272" t="s">
        <v>1268</v>
      </c>
      <c r="F1043" s="155" t="str">
        <f>_xlfn.XLOOKUP(B1043,STUDIES!$A$3:$A$1063,STUDIES!$G$3:$G$1063,"Not Found!")</f>
        <v>A</v>
      </c>
      <c r="G1043" s="273" t="s">
        <v>147</v>
      </c>
      <c r="H1043" s="273">
        <v>16</v>
      </c>
      <c r="I1043" s="273">
        <v>99</v>
      </c>
      <c r="J1043" s="274">
        <v>14</v>
      </c>
    </row>
    <row r="1044" spans="1:38" ht="18" customHeight="1" x14ac:dyDescent="0.35">
      <c r="A1044" s="274">
        <f>MATCH(B1044,STUDIES!$A$3:$A$502,0)</f>
        <v>68</v>
      </c>
      <c r="B1044" s="86" t="s">
        <v>1335</v>
      </c>
      <c r="C1044" s="466"/>
      <c r="D1044" s="281" t="s">
        <v>148</v>
      </c>
      <c r="E1044" s="272" t="s">
        <v>1243</v>
      </c>
      <c r="F1044" s="155" t="str">
        <f>_xlfn.XLOOKUP(B1044,STUDIES!$A$3:$A$1063,STUDIES!$G$3:$G$1063,"Not Found!")</f>
        <v>A</v>
      </c>
      <c r="G1044" s="273" t="s">
        <v>147</v>
      </c>
      <c r="H1044" s="273">
        <v>16</v>
      </c>
      <c r="I1044" s="273">
        <v>102</v>
      </c>
      <c r="J1044" s="274">
        <v>30</v>
      </c>
    </row>
    <row r="1045" spans="1:38" ht="18" customHeight="1" x14ac:dyDescent="0.35">
      <c r="A1045" s="274">
        <f>MATCH(B1045,STUDIES!$A$3:$A$502,0)</f>
        <v>68</v>
      </c>
      <c r="B1045" s="86" t="s">
        <v>1335</v>
      </c>
      <c r="C1045" s="466"/>
      <c r="D1045" s="281" t="s">
        <v>1340</v>
      </c>
      <c r="E1045" s="272" t="s">
        <v>1243</v>
      </c>
      <c r="F1045" s="155" t="str">
        <f>_xlfn.XLOOKUP(B1045,STUDIES!$A$3:$A$1063,STUDIES!$G$3:$G$1063,"Not Found!")</f>
        <v>A</v>
      </c>
      <c r="G1045" s="273" t="s">
        <v>147</v>
      </c>
      <c r="H1045" s="273">
        <v>16</v>
      </c>
      <c r="I1045" s="273">
        <v>99</v>
      </c>
      <c r="J1045" s="274">
        <v>27</v>
      </c>
    </row>
    <row r="1046" spans="1:38" ht="18" customHeight="1" x14ac:dyDescent="0.35">
      <c r="A1046" s="274">
        <f>MATCH(B1046,STUDIES!$A$3:$A$502,0)</f>
        <v>68</v>
      </c>
      <c r="B1046" s="86" t="s">
        <v>1335</v>
      </c>
      <c r="C1046" s="466"/>
      <c r="D1046" s="281" t="s">
        <v>148</v>
      </c>
      <c r="E1046" s="272" t="s">
        <v>151</v>
      </c>
      <c r="F1046" s="155" t="str">
        <f>_xlfn.XLOOKUP(B1046,STUDIES!$A$3:$A$1063,STUDIES!$G$3:$G$1063,"Not Found!")</f>
        <v>A</v>
      </c>
      <c r="G1046" s="273" t="s">
        <v>147</v>
      </c>
      <c r="H1046" s="273">
        <v>16</v>
      </c>
      <c r="I1046" s="273">
        <v>102</v>
      </c>
      <c r="R1046" s="283">
        <v>18.4269</v>
      </c>
      <c r="U1046" s="268">
        <v>4.8106999999999998</v>
      </c>
      <c r="V1046" s="268">
        <v>32.043100000000003</v>
      </c>
      <c r="W1046" s="268">
        <v>0.95</v>
      </c>
    </row>
    <row r="1047" spans="1:38" ht="18" customHeight="1" x14ac:dyDescent="0.35">
      <c r="A1047" s="274">
        <f>MATCH(B1047,STUDIES!$A$3:$A$502,0)</f>
        <v>68</v>
      </c>
      <c r="B1047" s="86" t="s">
        <v>1335</v>
      </c>
      <c r="C1047" s="466"/>
      <c r="D1047" s="281" t="s">
        <v>1340</v>
      </c>
      <c r="E1047" s="272" t="s">
        <v>151</v>
      </c>
      <c r="F1047" s="155" t="str">
        <f>_xlfn.XLOOKUP(B1047,STUDIES!$A$3:$A$1063,STUDIES!$G$3:$G$1063,"Not Found!")</f>
        <v>A</v>
      </c>
      <c r="G1047" s="273" t="s">
        <v>147</v>
      </c>
      <c r="H1047" s="273">
        <v>16</v>
      </c>
      <c r="I1047" s="273">
        <v>99</v>
      </c>
      <c r="R1047" s="283">
        <v>3.5470000000000002</v>
      </c>
      <c r="U1047" s="268">
        <v>-15.672000000000001</v>
      </c>
      <c r="V1047" s="268">
        <v>22.766100000000002</v>
      </c>
      <c r="W1047" s="268">
        <v>0.95</v>
      </c>
    </row>
    <row r="1048" spans="1:38" ht="18" customHeight="1" x14ac:dyDescent="0.35">
      <c r="A1048" s="274">
        <f>MATCH(B1048,STUDIES!$A$3:$A$502,0)</f>
        <v>68</v>
      </c>
      <c r="B1048" s="86" t="s">
        <v>1335</v>
      </c>
      <c r="C1048" s="466"/>
      <c r="D1048" s="281" t="s">
        <v>148</v>
      </c>
      <c r="E1048" s="272" t="s">
        <v>695</v>
      </c>
      <c r="F1048" s="155" t="str">
        <f>_xlfn.XLOOKUP(B1048,STUDIES!$A$3:$A$1063,STUDIES!$G$3:$G$1063,"Not Found!")</f>
        <v>A</v>
      </c>
      <c r="G1048" s="273" t="s">
        <v>147</v>
      </c>
      <c r="H1048" s="273">
        <v>16</v>
      </c>
      <c r="I1048" s="273">
        <v>102</v>
      </c>
      <c r="R1048" s="283">
        <v>0.22439999999999999</v>
      </c>
      <c r="U1048" s="268">
        <v>-0.73770000000000002</v>
      </c>
      <c r="V1048" s="268">
        <v>1.1865000000000001</v>
      </c>
      <c r="W1048" s="268">
        <v>0.95</v>
      </c>
    </row>
    <row r="1049" spans="1:38" ht="18" customHeight="1" x14ac:dyDescent="0.35">
      <c r="A1049" s="274">
        <f>MATCH(B1049,STUDIES!$A$3:$A$502,0)</f>
        <v>68</v>
      </c>
      <c r="B1049" s="86" t="s">
        <v>1335</v>
      </c>
      <c r="C1049" s="466"/>
      <c r="D1049" s="281" t="s">
        <v>1340</v>
      </c>
      <c r="E1049" s="272" t="s">
        <v>695</v>
      </c>
      <c r="F1049" s="155" t="str">
        <f>_xlfn.XLOOKUP(B1049,STUDIES!$A$3:$A$1063,STUDIES!$G$3:$G$1063,"Not Found!")</f>
        <v>A</v>
      </c>
      <c r="G1049" s="273" t="s">
        <v>147</v>
      </c>
      <c r="H1049" s="273">
        <v>16</v>
      </c>
      <c r="I1049" s="273">
        <v>99</v>
      </c>
      <c r="R1049" s="283">
        <v>2.58E-2</v>
      </c>
      <c r="U1049" s="268">
        <v>-1.3063</v>
      </c>
      <c r="V1049" s="268">
        <v>1.3579000000000001</v>
      </c>
      <c r="W1049" s="268">
        <v>0.95</v>
      </c>
    </row>
    <row r="1050" spans="1:38" ht="18" customHeight="1" x14ac:dyDescent="0.35">
      <c r="A1050" s="274">
        <f>MATCH(B1050,STUDIES!$A$3:$A$502,0)</f>
        <v>68</v>
      </c>
      <c r="B1050" s="86" t="s">
        <v>1335</v>
      </c>
      <c r="C1050" s="466"/>
      <c r="D1050" s="281" t="s">
        <v>148</v>
      </c>
      <c r="E1050" s="272" t="s">
        <v>1258</v>
      </c>
      <c r="F1050" s="155" t="str">
        <f>_xlfn.XLOOKUP(B1050,STUDIES!$A$3:$A$1063,STUDIES!$G$3:$G$1063,"Not Found!")</f>
        <v>A</v>
      </c>
      <c r="G1050" s="273" t="s">
        <v>147</v>
      </c>
      <c r="H1050" s="273">
        <v>16</v>
      </c>
      <c r="I1050" s="273">
        <v>102</v>
      </c>
      <c r="J1050" s="274">
        <v>44</v>
      </c>
    </row>
    <row r="1051" spans="1:38" ht="18" customHeight="1" x14ac:dyDescent="0.35">
      <c r="A1051" s="274">
        <f>MATCH(B1051,STUDIES!$A$3:$A$502,0)</f>
        <v>68</v>
      </c>
      <c r="B1051" s="86" t="s">
        <v>1335</v>
      </c>
      <c r="C1051" s="466"/>
      <c r="D1051" s="281" t="s">
        <v>1340</v>
      </c>
      <c r="E1051" s="272" t="s">
        <v>1258</v>
      </c>
      <c r="F1051" s="155" t="str">
        <f>_xlfn.XLOOKUP(B1051,STUDIES!$A$3:$A$1063,STUDIES!$G$3:$G$1063,"Not Found!")</f>
        <v>A</v>
      </c>
      <c r="G1051" s="273" t="s">
        <v>147</v>
      </c>
      <c r="H1051" s="273">
        <v>16</v>
      </c>
      <c r="I1051" s="273">
        <v>99</v>
      </c>
      <c r="J1051" s="274">
        <v>45</v>
      </c>
    </row>
    <row r="1052" spans="1:38" ht="18" customHeight="1" x14ac:dyDescent="0.35">
      <c r="A1052" s="274">
        <f>MATCH(B1052,STUDIES!$A$3:$A$502,0)</f>
        <v>68</v>
      </c>
      <c r="B1052" s="86" t="s">
        <v>1335</v>
      </c>
      <c r="C1052" s="466"/>
      <c r="D1052" s="281" t="s">
        <v>148</v>
      </c>
      <c r="E1052" s="272" t="s">
        <v>1163</v>
      </c>
      <c r="F1052" s="155" t="str">
        <f>_xlfn.XLOOKUP(B1052,STUDIES!$A$3:$A$1063,STUDIES!$G$3:$G$1063,"Not Found!")</f>
        <v>A</v>
      </c>
      <c r="G1052" s="273" t="s">
        <v>147</v>
      </c>
      <c r="H1052" s="273">
        <v>16</v>
      </c>
      <c r="I1052" s="273">
        <v>110</v>
      </c>
      <c r="J1052" s="274">
        <v>5</v>
      </c>
    </row>
    <row r="1053" spans="1:38" ht="18" customHeight="1" x14ac:dyDescent="0.35">
      <c r="A1053" s="274">
        <f>MATCH(B1053,STUDIES!$A$3:$A$502,0)</f>
        <v>68</v>
      </c>
      <c r="B1053" s="86" t="s">
        <v>1335</v>
      </c>
      <c r="C1053" s="466"/>
      <c r="D1053" s="281" t="s">
        <v>1340</v>
      </c>
      <c r="E1053" s="272" t="s">
        <v>1163</v>
      </c>
      <c r="F1053" s="155" t="str">
        <f>_xlfn.XLOOKUP(B1053,STUDIES!$A$3:$A$1063,STUDIES!$G$3:$G$1063,"Not Found!")</f>
        <v>A</v>
      </c>
      <c r="G1053" s="273" t="s">
        <v>147</v>
      </c>
      <c r="H1053" s="273">
        <v>16</v>
      </c>
      <c r="I1053" s="273">
        <v>109</v>
      </c>
      <c r="J1053" s="274">
        <v>5</v>
      </c>
    </row>
    <row r="1054" spans="1:38" ht="18" customHeight="1" x14ac:dyDescent="0.35">
      <c r="A1054" s="274">
        <f>MATCH(B1054,STUDIES!$A$3:$A$502,0)</f>
        <v>68</v>
      </c>
      <c r="B1054" s="86" t="s">
        <v>1335</v>
      </c>
      <c r="C1054" s="466"/>
      <c r="D1054" s="281" t="s">
        <v>148</v>
      </c>
      <c r="E1054" s="272" t="s">
        <v>1167</v>
      </c>
      <c r="F1054" s="155" t="str">
        <f>_xlfn.XLOOKUP(B1054,STUDIES!$A$3:$A$1063,STUDIES!$G$3:$G$1063,"Not Found!")</f>
        <v>A</v>
      </c>
      <c r="G1054" s="273" t="s">
        <v>147</v>
      </c>
      <c r="H1054" s="273">
        <v>16</v>
      </c>
      <c r="I1054" s="273">
        <v>110</v>
      </c>
      <c r="J1054" s="274">
        <v>10</v>
      </c>
    </row>
    <row r="1055" spans="1:38" ht="18" customHeight="1" x14ac:dyDescent="0.35">
      <c r="A1055" s="274">
        <f>MATCH(B1055,STUDIES!$A$3:$A$502,0)</f>
        <v>68</v>
      </c>
      <c r="B1055" s="86" t="s">
        <v>1335</v>
      </c>
      <c r="C1055" s="466"/>
      <c r="D1055" s="281" t="s">
        <v>1340</v>
      </c>
      <c r="E1055" s="272" t="s">
        <v>1167</v>
      </c>
      <c r="F1055" s="155" t="str">
        <f>_xlfn.XLOOKUP(B1055,STUDIES!$A$3:$A$1063,STUDIES!$G$3:$G$1063,"Not Found!")</f>
        <v>A</v>
      </c>
      <c r="G1055" s="273" t="s">
        <v>147</v>
      </c>
      <c r="H1055" s="273">
        <v>16</v>
      </c>
      <c r="I1055" s="273">
        <v>109</v>
      </c>
      <c r="J1055" s="274">
        <v>17</v>
      </c>
    </row>
    <row r="1056" spans="1:38" ht="18" customHeight="1" x14ac:dyDescent="0.35">
      <c r="A1056" s="274">
        <f>MATCH(B1056,STUDIES!$A$3:$A$502,0)</f>
        <v>69</v>
      </c>
      <c r="B1056" s="86" t="s">
        <v>1866</v>
      </c>
      <c r="D1056" s="232" t="s">
        <v>1870</v>
      </c>
      <c r="E1056" s="272" t="s">
        <v>151</v>
      </c>
      <c r="F1056" s="155" t="str">
        <f>_xlfn.XLOOKUP(B1056,STUDIES!$A$3:$A$1063,STUDIES!$G$3:$G$1063,"Not Found!")</f>
        <v>A</v>
      </c>
      <c r="G1056" s="273" t="s">
        <v>147</v>
      </c>
      <c r="H1056" s="273">
        <v>16</v>
      </c>
      <c r="I1056" s="273">
        <v>51</v>
      </c>
      <c r="K1056" s="268">
        <v>30.42</v>
      </c>
      <c r="M1056" s="268">
        <v>14.11</v>
      </c>
      <c r="AJ1056" s="276">
        <v>-57.588999999999999</v>
      </c>
      <c r="AL1056" s="268">
        <v>36.2014</v>
      </c>
    </row>
    <row r="1057" spans="1:38" ht="18" customHeight="1" x14ac:dyDescent="0.35">
      <c r="A1057" s="274">
        <f>MATCH(B1057,STUDIES!$A$3:$A$502,0)</f>
        <v>69</v>
      </c>
      <c r="B1057" s="86" t="s">
        <v>1866</v>
      </c>
      <c r="D1057" s="232" t="s">
        <v>1871</v>
      </c>
      <c r="E1057" s="272" t="s">
        <v>151</v>
      </c>
      <c r="F1057" s="155" t="str">
        <f>_xlfn.XLOOKUP(B1057,STUDIES!$A$3:$A$1063,STUDIES!$G$3:$G$1063,"Not Found!")</f>
        <v>A</v>
      </c>
      <c r="G1057" s="273" t="s">
        <v>147</v>
      </c>
      <c r="H1057" s="273">
        <v>16</v>
      </c>
      <c r="I1057" s="273">
        <v>45</v>
      </c>
      <c r="K1057" s="268">
        <v>33.840000000000003</v>
      </c>
      <c r="M1057" s="268">
        <v>14.91</v>
      </c>
      <c r="AJ1057" s="276">
        <v>-56.734000000000002</v>
      </c>
      <c r="AL1057" s="268">
        <v>32.539499999999997</v>
      </c>
    </row>
    <row r="1058" spans="1:38" ht="18" customHeight="1" x14ac:dyDescent="0.35">
      <c r="A1058" s="274">
        <f>MATCH(B1058,STUDIES!$A$3:$A$502,0)</f>
        <v>69</v>
      </c>
      <c r="B1058" s="86" t="s">
        <v>1866</v>
      </c>
      <c r="D1058" s="232" t="s">
        <v>1872</v>
      </c>
      <c r="E1058" s="272" t="s">
        <v>151</v>
      </c>
      <c r="F1058" s="155" t="str">
        <f>_xlfn.XLOOKUP(B1058,STUDIES!$A$3:$A$1063,STUDIES!$G$3:$G$1063,"Not Found!")</f>
        <v>A</v>
      </c>
      <c r="G1058" s="273" t="s">
        <v>147</v>
      </c>
      <c r="H1058" s="273">
        <v>16</v>
      </c>
      <c r="I1058" s="273">
        <v>39</v>
      </c>
      <c r="K1058" s="268">
        <v>28.42</v>
      </c>
      <c r="M1058" s="268">
        <v>11.602</v>
      </c>
      <c r="AJ1058" s="276">
        <v>-38.098999999999997</v>
      </c>
      <c r="AL1058" s="268">
        <v>39.685699999999997</v>
      </c>
    </row>
    <row r="1059" spans="1:38" ht="18" customHeight="1" x14ac:dyDescent="0.35">
      <c r="A1059" s="274">
        <f>MATCH(B1059,STUDIES!$A$3:$A$502,0)</f>
        <v>69</v>
      </c>
      <c r="B1059" s="86" t="s">
        <v>1866</v>
      </c>
      <c r="D1059" s="281" t="s">
        <v>148</v>
      </c>
      <c r="E1059" s="272" t="s">
        <v>151</v>
      </c>
      <c r="F1059" s="155" t="str">
        <f>_xlfn.XLOOKUP(B1059,STUDIES!$A$3:$A$1063,STUDIES!$G$3:$G$1063,"Not Found!")</f>
        <v>A</v>
      </c>
      <c r="G1059" s="273" t="s">
        <v>147</v>
      </c>
      <c r="H1059" s="273">
        <v>16</v>
      </c>
      <c r="I1059" s="273">
        <v>42</v>
      </c>
      <c r="K1059" s="268">
        <v>30.65</v>
      </c>
      <c r="M1059" s="268">
        <v>13.173</v>
      </c>
      <c r="AJ1059" s="276">
        <v>-42.142000000000003</v>
      </c>
      <c r="AL1059" s="268">
        <v>38.194499999999998</v>
      </c>
    </row>
    <row r="1060" spans="1:38" ht="18" customHeight="1" x14ac:dyDescent="0.35">
      <c r="A1060" s="274">
        <f>MATCH(B1060,STUDIES!$A$3:$A$502,0)</f>
        <v>70</v>
      </c>
      <c r="B1060" s="86" t="s">
        <v>1867</v>
      </c>
      <c r="D1060" s="281" t="s">
        <v>1873</v>
      </c>
      <c r="E1060" s="272" t="s">
        <v>151</v>
      </c>
      <c r="F1060" s="155" t="str">
        <f>_xlfn.XLOOKUP(B1060,STUDIES!$A$3:$A$1063,STUDIES!$G$3:$G$1063,"Not Found!")</f>
        <v>A</v>
      </c>
      <c r="G1060" s="273" t="s">
        <v>147</v>
      </c>
      <c r="H1060" s="273">
        <v>16</v>
      </c>
      <c r="I1060" s="273">
        <v>53</v>
      </c>
      <c r="K1060" s="268">
        <v>29.86</v>
      </c>
      <c r="M1060" s="268">
        <v>13.223000000000001</v>
      </c>
      <c r="AJ1060" s="276">
        <v>-59.737000000000002</v>
      </c>
      <c r="AL1060" s="268">
        <v>27.117599999999999</v>
      </c>
    </row>
    <row r="1061" spans="1:38" ht="14.5" x14ac:dyDescent="0.35">
      <c r="A1061" s="274">
        <f>MATCH(B1061,STUDIES!$A$3:$A$502,0)</f>
        <v>70</v>
      </c>
      <c r="B1061" s="86" t="s">
        <v>1867</v>
      </c>
      <c r="D1061" s="281" t="s">
        <v>148</v>
      </c>
      <c r="E1061" s="272" t="s">
        <v>151</v>
      </c>
      <c r="F1061" s="155" t="str">
        <f>_xlfn.XLOOKUP(B1061,STUDIES!$A$3:$A$1063,STUDIES!$G$3:$G$1063,"Not Found!")</f>
        <v>A</v>
      </c>
      <c r="G1061" s="273" t="s">
        <v>147</v>
      </c>
      <c r="H1061" s="273">
        <v>16</v>
      </c>
      <c r="I1061" s="273">
        <v>51</v>
      </c>
      <c r="K1061" s="268">
        <v>31.81</v>
      </c>
      <c r="M1061" s="268">
        <v>14.34</v>
      </c>
      <c r="AJ1061" s="276">
        <v>-43.252000000000002</v>
      </c>
      <c r="AL1061" s="268">
        <v>41.240400000000001</v>
      </c>
    </row>
    <row r="1062" spans="1:38" ht="18" customHeight="1" x14ac:dyDescent="0.35">
      <c r="A1062" s="274">
        <f>MATCH(B1062,STUDIES!$A$3:$A$502,0)</f>
        <v>69</v>
      </c>
      <c r="B1062" s="86" t="s">
        <v>1866</v>
      </c>
      <c r="D1062" s="232" t="s">
        <v>1870</v>
      </c>
      <c r="E1062" s="272" t="s">
        <v>1243</v>
      </c>
      <c r="F1062" s="155" t="str">
        <f>_xlfn.XLOOKUP(B1062,STUDIES!$A$3:$A$1063,STUDIES!$G$3:$G$1063,"Not Found!")</f>
        <v>A</v>
      </c>
      <c r="G1062" s="273" t="s">
        <v>147</v>
      </c>
      <c r="H1062" s="273">
        <v>16</v>
      </c>
      <c r="I1062" s="273">
        <v>76</v>
      </c>
      <c r="J1062" s="274">
        <f>0.237*I1062</f>
        <v>18.012</v>
      </c>
    </row>
    <row r="1063" spans="1:38" ht="18" customHeight="1" x14ac:dyDescent="0.35">
      <c r="A1063" s="274">
        <f>MATCH(B1063,STUDIES!$A$3:$A$502,0)</f>
        <v>69</v>
      </c>
      <c r="B1063" s="86" t="s">
        <v>1866</v>
      </c>
      <c r="D1063" s="232" t="s">
        <v>1871</v>
      </c>
      <c r="E1063" s="272" t="s">
        <v>1243</v>
      </c>
      <c r="F1063" s="155" t="str">
        <f>_xlfn.XLOOKUP(B1063,STUDIES!$A$3:$A$1063,STUDIES!$G$3:$G$1063,"Not Found!")</f>
        <v>A</v>
      </c>
      <c r="G1063" s="273" t="s">
        <v>147</v>
      </c>
      <c r="H1063" s="273">
        <v>16</v>
      </c>
      <c r="I1063" s="273">
        <v>78</v>
      </c>
      <c r="J1063" s="274">
        <f>0.205*I1063</f>
        <v>15.989999999999998</v>
      </c>
    </row>
    <row r="1064" spans="1:38" ht="18" customHeight="1" x14ac:dyDescent="0.35">
      <c r="A1064" s="274">
        <f>MATCH(B1064,STUDIES!$A$3:$A$502,0)</f>
        <v>69</v>
      </c>
      <c r="B1064" s="86" t="s">
        <v>1866</v>
      </c>
      <c r="D1064" s="232" t="s">
        <v>1872</v>
      </c>
      <c r="E1064" s="272" t="s">
        <v>1243</v>
      </c>
      <c r="F1064" s="155" t="str">
        <f>_xlfn.XLOOKUP(B1064,STUDIES!$A$3:$A$1063,STUDIES!$G$3:$G$1063,"Not Found!")</f>
        <v>A</v>
      </c>
      <c r="G1064" s="273" t="s">
        <v>147</v>
      </c>
      <c r="H1064" s="273">
        <v>16</v>
      </c>
      <c r="I1064" s="273">
        <v>77</v>
      </c>
      <c r="J1064" s="274">
        <f>0.117*I1064</f>
        <v>9.0090000000000003</v>
      </c>
    </row>
    <row r="1065" spans="1:38" ht="18" customHeight="1" x14ac:dyDescent="0.35">
      <c r="A1065" s="274">
        <f>MATCH(B1065,STUDIES!$A$3:$A$502,0)</f>
        <v>69</v>
      </c>
      <c r="B1065" s="86" t="s">
        <v>1866</v>
      </c>
      <c r="D1065" s="281" t="s">
        <v>148</v>
      </c>
      <c r="E1065" s="272" t="s">
        <v>1243</v>
      </c>
      <c r="F1065" s="155" t="str">
        <f>_xlfn.XLOOKUP(B1065,STUDIES!$A$3:$A$1063,STUDIES!$G$3:$G$1063,"Not Found!")</f>
        <v>A</v>
      </c>
      <c r="G1065" s="273" t="s">
        <v>147</v>
      </c>
      <c r="H1065" s="273">
        <v>16</v>
      </c>
      <c r="I1065" s="273">
        <v>80</v>
      </c>
      <c r="J1065" s="274">
        <f>0.113*I1065</f>
        <v>9.0400000000000009</v>
      </c>
    </row>
    <row r="1066" spans="1:38" ht="18" customHeight="1" x14ac:dyDescent="0.35">
      <c r="A1066" s="274">
        <f>MATCH(B1066,STUDIES!$A$3:$A$502,0)</f>
        <v>70</v>
      </c>
      <c r="B1066" s="86" t="s">
        <v>1867</v>
      </c>
      <c r="D1066" s="281" t="s">
        <v>1873</v>
      </c>
      <c r="E1066" s="272" t="s">
        <v>1243</v>
      </c>
      <c r="F1066" s="155" t="str">
        <f>_xlfn.XLOOKUP(B1066,STUDIES!$A$3:$A$1063,STUDIES!$G$3:$G$1063,"Not Found!")</f>
        <v>A</v>
      </c>
      <c r="G1066" s="273" t="s">
        <v>147</v>
      </c>
      <c r="H1066" s="273">
        <v>16</v>
      </c>
      <c r="I1066" s="273">
        <v>75</v>
      </c>
      <c r="J1066" s="274">
        <f>0.253*I1066</f>
        <v>18.975000000000001</v>
      </c>
    </row>
    <row r="1067" spans="1:38" ht="18" customHeight="1" x14ac:dyDescent="0.35">
      <c r="A1067" s="274">
        <f>MATCH(B1067,STUDIES!$A$3:$A$502,0)</f>
        <v>70</v>
      </c>
      <c r="B1067" s="86" t="s">
        <v>1867</v>
      </c>
      <c r="D1067" s="281" t="s">
        <v>148</v>
      </c>
      <c r="E1067" s="272" t="s">
        <v>1243</v>
      </c>
      <c r="F1067" s="155" t="str">
        <f>_xlfn.XLOOKUP(B1067,STUDIES!$A$3:$A$1063,STUDIES!$G$3:$G$1063,"Not Found!")</f>
        <v>A</v>
      </c>
      <c r="G1067" s="273" t="s">
        <v>147</v>
      </c>
      <c r="H1067" s="273">
        <v>16</v>
      </c>
      <c r="I1067" s="273">
        <v>74</v>
      </c>
      <c r="J1067" s="274">
        <f>0.189*I1067</f>
        <v>13.986000000000001</v>
      </c>
    </row>
    <row r="1068" spans="1:38" ht="18" customHeight="1" x14ac:dyDescent="0.35">
      <c r="A1068" s="274">
        <f>MATCH(B1068,STUDIES!$A$3:$A$502,0)</f>
        <v>69</v>
      </c>
      <c r="B1068" s="86" t="s">
        <v>1866</v>
      </c>
      <c r="D1068" s="232" t="s">
        <v>1870</v>
      </c>
      <c r="E1068" s="272" t="s">
        <v>1268</v>
      </c>
      <c r="F1068" s="155" t="str">
        <f>_xlfn.XLOOKUP(B1068,STUDIES!$A$3:$A$1063,STUDIES!$G$3:$G$1063,"Not Found!")</f>
        <v>A</v>
      </c>
      <c r="G1068" s="273" t="s">
        <v>147</v>
      </c>
      <c r="H1068" s="273">
        <v>16</v>
      </c>
      <c r="I1068" s="273">
        <v>76</v>
      </c>
      <c r="J1068" s="274">
        <f>0.132*I1068</f>
        <v>10.032</v>
      </c>
    </row>
    <row r="1069" spans="1:38" ht="18" customHeight="1" x14ac:dyDescent="0.35">
      <c r="A1069" s="274">
        <f>MATCH(B1069,STUDIES!$A$3:$A$502,0)</f>
        <v>69</v>
      </c>
      <c r="B1069" s="86" t="s">
        <v>1866</v>
      </c>
      <c r="D1069" s="232" t="s">
        <v>1871</v>
      </c>
      <c r="E1069" s="272" t="s">
        <v>1268</v>
      </c>
      <c r="F1069" s="155" t="str">
        <f>_xlfn.XLOOKUP(B1069,STUDIES!$A$3:$A$1063,STUDIES!$G$3:$G$1063,"Not Found!")</f>
        <v>A</v>
      </c>
      <c r="G1069" s="273" t="s">
        <v>147</v>
      </c>
      <c r="H1069" s="273">
        <v>16</v>
      </c>
      <c r="I1069" s="273">
        <v>78</v>
      </c>
      <c r="J1069" s="274">
        <f>0.103*I1069</f>
        <v>8.0339999999999989</v>
      </c>
    </row>
    <row r="1070" spans="1:38" ht="18" customHeight="1" x14ac:dyDescent="0.35">
      <c r="A1070" s="274">
        <f>MATCH(B1070,STUDIES!$A$3:$A$502,0)</f>
        <v>69</v>
      </c>
      <c r="B1070" s="86" t="s">
        <v>1866</v>
      </c>
      <c r="D1070" s="232" t="s">
        <v>1872</v>
      </c>
      <c r="E1070" s="272" t="s">
        <v>1268</v>
      </c>
      <c r="F1070" s="155" t="str">
        <f>_xlfn.XLOOKUP(B1070,STUDIES!$A$3:$A$1063,STUDIES!$G$3:$G$1063,"Not Found!")</f>
        <v>A</v>
      </c>
      <c r="G1070" s="273" t="s">
        <v>147</v>
      </c>
      <c r="H1070" s="273">
        <v>16</v>
      </c>
      <c r="I1070" s="273">
        <v>77</v>
      </c>
      <c r="J1070" s="274">
        <f>0.065*I1070</f>
        <v>5.0049999999999999</v>
      </c>
    </row>
    <row r="1071" spans="1:38" ht="18" customHeight="1" x14ac:dyDescent="0.35">
      <c r="A1071" s="274">
        <f>MATCH(B1071,STUDIES!$A$3:$A$502,0)</f>
        <v>69</v>
      </c>
      <c r="B1071" s="86" t="s">
        <v>1866</v>
      </c>
      <c r="D1071" s="281" t="s">
        <v>148</v>
      </c>
      <c r="E1071" s="272" t="s">
        <v>1268</v>
      </c>
      <c r="F1071" s="155" t="str">
        <f>_xlfn.XLOOKUP(B1071,STUDIES!$A$3:$A$1063,STUDIES!$G$3:$G$1063,"Not Found!")</f>
        <v>A</v>
      </c>
      <c r="G1071" s="273" t="s">
        <v>147</v>
      </c>
      <c r="H1071" s="273">
        <v>16</v>
      </c>
      <c r="I1071" s="273">
        <v>80</v>
      </c>
      <c r="J1071" s="274">
        <f>0.05*I1071</f>
        <v>4</v>
      </c>
    </row>
    <row r="1072" spans="1:38" ht="18" customHeight="1" x14ac:dyDescent="0.35">
      <c r="A1072" s="274">
        <f>MATCH(B1072,STUDIES!$A$3:$A$502,0)</f>
        <v>70</v>
      </c>
      <c r="B1072" s="86" t="s">
        <v>1867</v>
      </c>
      <c r="D1072" s="281" t="s">
        <v>1873</v>
      </c>
      <c r="E1072" s="272" t="s">
        <v>1268</v>
      </c>
      <c r="F1072" s="155" t="str">
        <f>_xlfn.XLOOKUP(B1072,STUDIES!$A$3:$A$1063,STUDIES!$G$3:$G$1063,"Not Found!")</f>
        <v>A</v>
      </c>
      <c r="G1072" s="273" t="s">
        <v>147</v>
      </c>
      <c r="H1072" s="273">
        <v>16</v>
      </c>
      <c r="I1072" s="273">
        <v>75</v>
      </c>
      <c r="J1072" s="274">
        <f>0.12*I1072</f>
        <v>9</v>
      </c>
    </row>
    <row r="1073" spans="1:20" ht="18" customHeight="1" x14ac:dyDescent="0.35">
      <c r="A1073" s="274">
        <f>MATCH(B1073,STUDIES!$A$3:$A$502,0)</f>
        <v>70</v>
      </c>
      <c r="B1073" s="86" t="s">
        <v>1867</v>
      </c>
      <c r="D1073" s="281" t="s">
        <v>148</v>
      </c>
      <c r="E1073" s="272" t="s">
        <v>1268</v>
      </c>
      <c r="F1073" s="155" t="str">
        <f>_xlfn.XLOOKUP(B1073,STUDIES!$A$3:$A$1063,STUDIES!$G$3:$G$1063,"Not Found!")</f>
        <v>A</v>
      </c>
      <c r="G1073" s="273" t="s">
        <v>147</v>
      </c>
      <c r="H1073" s="273">
        <v>16</v>
      </c>
      <c r="I1073" s="273">
        <v>74</v>
      </c>
      <c r="J1073" s="274">
        <f>0.054*I1073</f>
        <v>3.996</v>
      </c>
    </row>
    <row r="1074" spans="1:20" ht="18" customHeight="1" x14ac:dyDescent="0.35">
      <c r="A1074" s="274">
        <f>MATCH(B1074,STUDIES!$A$3:$A$502,0)</f>
        <v>69</v>
      </c>
      <c r="B1074" s="86" t="s">
        <v>1866</v>
      </c>
      <c r="D1074" s="232" t="s">
        <v>1870</v>
      </c>
      <c r="E1074" s="272" t="s">
        <v>1258</v>
      </c>
      <c r="F1074" s="155" t="str">
        <f>_xlfn.XLOOKUP(B1074,STUDIES!$A$3:$A$1063,STUDIES!$G$3:$G$1063,"Not Found!")</f>
        <v>A</v>
      </c>
      <c r="G1074" s="273" t="s">
        <v>147</v>
      </c>
      <c r="H1074" s="273">
        <v>16</v>
      </c>
      <c r="I1074" s="273">
        <v>76</v>
      </c>
      <c r="J1074" s="274">
        <f>0.487*I1074</f>
        <v>37.012</v>
      </c>
    </row>
    <row r="1075" spans="1:20" ht="18" customHeight="1" x14ac:dyDescent="0.35">
      <c r="A1075" s="274">
        <f>MATCH(B1075,STUDIES!$A$3:$A$502,0)</f>
        <v>69</v>
      </c>
      <c r="B1075" s="86" t="s">
        <v>1866</v>
      </c>
      <c r="D1075" s="232" t="s">
        <v>1871</v>
      </c>
      <c r="E1075" s="272" t="s">
        <v>1258</v>
      </c>
      <c r="F1075" s="155" t="str">
        <f>_xlfn.XLOOKUP(B1075,STUDIES!$A$3:$A$1063,STUDIES!$G$3:$G$1063,"Not Found!")</f>
        <v>A</v>
      </c>
      <c r="G1075" s="273" t="s">
        <v>147</v>
      </c>
      <c r="H1075" s="273">
        <v>16</v>
      </c>
      <c r="I1075" s="273">
        <v>78</v>
      </c>
      <c r="J1075" s="274">
        <f>0.346*I1075</f>
        <v>26.988</v>
      </c>
    </row>
    <row r="1076" spans="1:20" ht="18" customHeight="1" x14ac:dyDescent="0.35">
      <c r="A1076" s="274">
        <f>MATCH(B1076,STUDIES!$A$3:$A$502,0)</f>
        <v>69</v>
      </c>
      <c r="B1076" s="86" t="s">
        <v>1866</v>
      </c>
      <c r="D1076" s="232" t="s">
        <v>1872</v>
      </c>
      <c r="E1076" s="272" t="s">
        <v>1258</v>
      </c>
      <c r="F1076" s="155" t="str">
        <f>_xlfn.XLOOKUP(B1076,STUDIES!$A$3:$A$1063,STUDIES!$G$3:$G$1063,"Not Found!")</f>
        <v>A</v>
      </c>
      <c r="G1076" s="273" t="s">
        <v>147</v>
      </c>
      <c r="H1076" s="273">
        <v>16</v>
      </c>
      <c r="I1076" s="273">
        <v>77</v>
      </c>
      <c r="J1076" s="274">
        <f>0.273*I1076</f>
        <v>21.021000000000001</v>
      </c>
    </row>
    <row r="1077" spans="1:20" ht="18" customHeight="1" x14ac:dyDescent="0.35">
      <c r="A1077" s="274">
        <f>MATCH(B1077,STUDIES!$A$3:$A$502,0)</f>
        <v>69</v>
      </c>
      <c r="B1077" s="86" t="s">
        <v>1866</v>
      </c>
      <c r="D1077" s="281" t="s">
        <v>148</v>
      </c>
      <c r="E1077" s="272" t="s">
        <v>1258</v>
      </c>
      <c r="F1077" s="155" t="str">
        <f>_xlfn.XLOOKUP(B1077,STUDIES!$A$3:$A$1063,STUDIES!$G$3:$G$1063,"Not Found!")</f>
        <v>A</v>
      </c>
      <c r="G1077" s="273" t="s">
        <v>147</v>
      </c>
      <c r="H1077" s="273">
        <v>16</v>
      </c>
      <c r="I1077" s="273">
        <v>80</v>
      </c>
      <c r="J1077" s="274">
        <f>0.275*I1077</f>
        <v>22</v>
      </c>
    </row>
    <row r="1078" spans="1:20" ht="18" customHeight="1" x14ac:dyDescent="0.35">
      <c r="A1078" s="274">
        <f>MATCH(B1078,STUDIES!$A$3:$A$502,0)</f>
        <v>70</v>
      </c>
      <c r="B1078" s="86" t="s">
        <v>1867</v>
      </c>
      <c r="D1078" s="281" t="s">
        <v>1873</v>
      </c>
      <c r="E1078" s="272" t="s">
        <v>1258</v>
      </c>
      <c r="F1078" s="155" t="str">
        <f>_xlfn.XLOOKUP(B1078,STUDIES!$A$3:$A$1063,STUDIES!$G$3:$G$1063,"Not Found!")</f>
        <v>A</v>
      </c>
      <c r="G1078" s="273" t="s">
        <v>147</v>
      </c>
      <c r="H1078" s="273">
        <v>16</v>
      </c>
      <c r="I1078" s="273">
        <v>75</v>
      </c>
      <c r="J1078" s="274">
        <f>0.44*I1078</f>
        <v>33</v>
      </c>
    </row>
    <row r="1079" spans="1:20" ht="18" customHeight="1" x14ac:dyDescent="0.35">
      <c r="A1079" s="274">
        <f>MATCH(B1079,STUDIES!$A$3:$A$502,0)</f>
        <v>70</v>
      </c>
      <c r="B1079" s="86" t="s">
        <v>1867</v>
      </c>
      <c r="D1079" s="281" t="s">
        <v>148</v>
      </c>
      <c r="E1079" s="272" t="s">
        <v>1258</v>
      </c>
      <c r="F1079" s="155" t="str">
        <f>_xlfn.XLOOKUP(B1079,STUDIES!$A$3:$A$1063,STUDIES!$G$3:$G$1063,"Not Found!")</f>
        <v>A</v>
      </c>
      <c r="G1079" s="273" t="s">
        <v>147</v>
      </c>
      <c r="H1079" s="273">
        <v>16</v>
      </c>
      <c r="I1079" s="273">
        <v>74</v>
      </c>
      <c r="J1079" s="274">
        <f>0.338*I1079</f>
        <v>25.012</v>
      </c>
    </row>
    <row r="1080" spans="1:20" ht="18" customHeight="1" x14ac:dyDescent="0.35">
      <c r="A1080" s="274">
        <f>MATCH(B1080,STUDIES!$A$3:$A$502,0)</f>
        <v>69</v>
      </c>
      <c r="B1080" s="86" t="s">
        <v>1866</v>
      </c>
      <c r="D1080" s="232" t="s">
        <v>1870</v>
      </c>
      <c r="E1080" s="272" t="s">
        <v>154</v>
      </c>
      <c r="F1080" s="155" t="str">
        <f>_xlfn.XLOOKUP(B1080,STUDIES!$A$3:$A$1063,STUDIES!$G$3:$G$1063,"Not Found!")</f>
        <v>A</v>
      </c>
      <c r="G1080" s="273" t="s">
        <v>147</v>
      </c>
      <c r="H1080" s="273">
        <v>16</v>
      </c>
      <c r="I1080" s="273">
        <v>51</v>
      </c>
      <c r="R1080" s="283">
        <v>-7.3</v>
      </c>
      <c r="T1080" s="268">
        <v>7.58</v>
      </c>
    </row>
    <row r="1081" spans="1:20" ht="18" customHeight="1" x14ac:dyDescent="0.35">
      <c r="A1081" s="274">
        <f>MATCH(B1081,STUDIES!$A$3:$A$502,0)</f>
        <v>69</v>
      </c>
      <c r="B1081" s="86" t="s">
        <v>1866</v>
      </c>
      <c r="D1081" s="232" t="s">
        <v>1871</v>
      </c>
      <c r="E1081" s="272" t="s">
        <v>154</v>
      </c>
      <c r="F1081" s="155" t="str">
        <f>_xlfn.XLOOKUP(B1081,STUDIES!$A$3:$A$1063,STUDIES!$G$3:$G$1063,"Not Found!")</f>
        <v>A</v>
      </c>
      <c r="G1081" s="273" t="s">
        <v>147</v>
      </c>
      <c r="H1081" s="273">
        <v>16</v>
      </c>
      <c r="I1081" s="273">
        <v>44</v>
      </c>
      <c r="R1081" s="283">
        <v>-6.7</v>
      </c>
      <c r="T1081" s="268">
        <v>6.16</v>
      </c>
    </row>
    <row r="1082" spans="1:20" ht="18" customHeight="1" x14ac:dyDescent="0.35">
      <c r="A1082" s="274">
        <f>MATCH(B1082,STUDIES!$A$3:$A$502,0)</f>
        <v>69</v>
      </c>
      <c r="B1082" s="86" t="s">
        <v>1866</v>
      </c>
      <c r="D1082" s="232" t="s">
        <v>1872</v>
      </c>
      <c r="E1082" s="272" t="s">
        <v>154</v>
      </c>
      <c r="F1082" s="155" t="str">
        <f>_xlfn.XLOOKUP(B1082,STUDIES!$A$3:$A$1063,STUDIES!$G$3:$G$1063,"Not Found!")</f>
        <v>A</v>
      </c>
      <c r="G1082" s="273" t="s">
        <v>147</v>
      </c>
      <c r="H1082" s="273">
        <v>16</v>
      </c>
      <c r="I1082" s="273">
        <v>39</v>
      </c>
      <c r="R1082" s="283">
        <v>-4.0999999999999996</v>
      </c>
      <c r="T1082" s="268">
        <v>6.13</v>
      </c>
    </row>
    <row r="1083" spans="1:20" ht="18" customHeight="1" x14ac:dyDescent="0.35">
      <c r="A1083" s="274">
        <f>MATCH(B1083,STUDIES!$A$3:$A$502,0)</f>
        <v>69</v>
      </c>
      <c r="B1083" s="86" t="s">
        <v>1866</v>
      </c>
      <c r="D1083" s="281" t="s">
        <v>148</v>
      </c>
      <c r="E1083" s="272" t="s">
        <v>154</v>
      </c>
      <c r="F1083" s="155" t="str">
        <f>_xlfn.XLOOKUP(B1083,STUDIES!$A$3:$A$1063,STUDIES!$G$3:$G$1063,"Not Found!")</f>
        <v>A</v>
      </c>
      <c r="G1083" s="273" t="s">
        <v>147</v>
      </c>
      <c r="H1083" s="273">
        <v>16</v>
      </c>
      <c r="I1083" s="273">
        <v>42</v>
      </c>
      <c r="R1083" s="283">
        <v>-4.7</v>
      </c>
      <c r="T1083" s="268">
        <v>7</v>
      </c>
    </row>
    <row r="1084" spans="1:20" ht="18" customHeight="1" x14ac:dyDescent="0.35">
      <c r="A1084" s="274">
        <f>MATCH(B1084,STUDIES!$A$3:$A$502,0)</f>
        <v>70</v>
      </c>
      <c r="B1084" s="86" t="s">
        <v>1867</v>
      </c>
      <c r="D1084" s="281" t="s">
        <v>1873</v>
      </c>
      <c r="E1084" s="272" t="s">
        <v>154</v>
      </c>
      <c r="F1084" s="155" t="str">
        <f>_xlfn.XLOOKUP(B1084,STUDIES!$A$3:$A$1063,STUDIES!$G$3:$G$1063,"Not Found!")</f>
        <v>A</v>
      </c>
      <c r="G1084" s="273" t="s">
        <v>147</v>
      </c>
      <c r="H1084" s="273">
        <v>16</v>
      </c>
      <c r="I1084" s="273">
        <v>52</v>
      </c>
      <c r="R1084" s="283">
        <v>-6.6</v>
      </c>
      <c r="T1084" s="268">
        <v>6.19</v>
      </c>
    </row>
    <row r="1085" spans="1:20" ht="18" customHeight="1" x14ac:dyDescent="0.35">
      <c r="A1085" s="274">
        <f>MATCH(B1085,STUDIES!$A$3:$A$502,0)</f>
        <v>70</v>
      </c>
      <c r="B1085" s="86" t="s">
        <v>1867</v>
      </c>
      <c r="D1085" s="281" t="s">
        <v>148</v>
      </c>
      <c r="E1085" s="272" t="s">
        <v>154</v>
      </c>
      <c r="F1085" s="155" t="str">
        <f>_xlfn.XLOOKUP(B1085,STUDIES!$A$3:$A$1063,STUDIES!$G$3:$G$1063,"Not Found!")</f>
        <v>A</v>
      </c>
      <c r="G1085" s="273" t="s">
        <v>147</v>
      </c>
      <c r="H1085" s="273">
        <v>16</v>
      </c>
      <c r="I1085" s="273">
        <v>51</v>
      </c>
      <c r="R1085" s="283">
        <v>-5.5</v>
      </c>
      <c r="T1085" s="268">
        <v>5.0999999999999996</v>
      </c>
    </row>
    <row r="1086" spans="1:20" ht="18" customHeight="1" x14ac:dyDescent="0.35">
      <c r="A1086" s="274">
        <f>MATCH(B1086,STUDIES!$A$3:$A$502,0)</f>
        <v>69</v>
      </c>
      <c r="B1086" s="86" t="s">
        <v>1866</v>
      </c>
      <c r="D1086" s="232" t="s">
        <v>1870</v>
      </c>
      <c r="E1086" s="272" t="s">
        <v>153</v>
      </c>
      <c r="F1086" s="155" t="str">
        <f>_xlfn.XLOOKUP(B1086,STUDIES!$A$3:$A$1063,STUDIES!$G$3:$G$1063,"Not Found!")</f>
        <v>A</v>
      </c>
      <c r="G1086" s="273" t="s">
        <v>147</v>
      </c>
      <c r="H1086" s="273">
        <v>16</v>
      </c>
      <c r="I1086" s="273">
        <v>51</v>
      </c>
      <c r="R1086" s="276">
        <v>-7.1</v>
      </c>
      <c r="T1086" s="268">
        <v>6.44</v>
      </c>
    </row>
    <row r="1087" spans="1:20" ht="18" customHeight="1" x14ac:dyDescent="0.35">
      <c r="A1087" s="274">
        <f>MATCH(B1087,STUDIES!$A$3:$A$502,0)</f>
        <v>69</v>
      </c>
      <c r="B1087" s="86" t="s">
        <v>1866</v>
      </c>
      <c r="D1087" s="232" t="s">
        <v>1871</v>
      </c>
      <c r="E1087" s="272" t="s">
        <v>153</v>
      </c>
      <c r="F1087" s="155" t="str">
        <f>_xlfn.XLOOKUP(B1087,STUDIES!$A$3:$A$1063,STUDIES!$G$3:$G$1063,"Not Found!")</f>
        <v>A</v>
      </c>
      <c r="G1087" s="273" t="s">
        <v>147</v>
      </c>
      <c r="H1087" s="273">
        <v>16</v>
      </c>
      <c r="I1087" s="273">
        <v>44</v>
      </c>
      <c r="R1087" s="276">
        <v>-4.8</v>
      </c>
      <c r="T1087" s="268">
        <v>8.7899999999999991</v>
      </c>
    </row>
    <row r="1088" spans="1:20" ht="18" customHeight="1" x14ac:dyDescent="0.35">
      <c r="A1088" s="274">
        <f>MATCH(B1088,STUDIES!$A$3:$A$502,0)</f>
        <v>69</v>
      </c>
      <c r="B1088" s="86" t="s">
        <v>1866</v>
      </c>
      <c r="D1088" s="232" t="s">
        <v>1872</v>
      </c>
      <c r="E1088" s="272" t="s">
        <v>153</v>
      </c>
      <c r="F1088" s="155" t="str">
        <f>_xlfn.XLOOKUP(B1088,STUDIES!$A$3:$A$1063,STUDIES!$G$3:$G$1063,"Not Found!")</f>
        <v>A</v>
      </c>
      <c r="G1088" s="273" t="s">
        <v>147</v>
      </c>
      <c r="H1088" s="273">
        <v>16</v>
      </c>
      <c r="I1088" s="273">
        <v>39</v>
      </c>
      <c r="R1088" s="276">
        <v>-3.8</v>
      </c>
      <c r="T1088" s="268">
        <v>6.51</v>
      </c>
    </row>
    <row r="1089" spans="1:20" ht="18" customHeight="1" x14ac:dyDescent="0.35">
      <c r="A1089" s="274">
        <f>MATCH(B1089,STUDIES!$A$3:$A$502,0)</f>
        <v>69</v>
      </c>
      <c r="B1089" s="86" t="s">
        <v>1866</v>
      </c>
      <c r="D1089" s="281" t="s">
        <v>148</v>
      </c>
      <c r="E1089" s="272" t="s">
        <v>153</v>
      </c>
      <c r="F1089" s="155" t="str">
        <f>_xlfn.XLOOKUP(B1089,STUDIES!$A$3:$A$1063,STUDIES!$G$3:$G$1063,"Not Found!")</f>
        <v>A</v>
      </c>
      <c r="G1089" s="273" t="s">
        <v>147</v>
      </c>
      <c r="H1089" s="273">
        <v>16</v>
      </c>
      <c r="I1089" s="273">
        <v>42</v>
      </c>
      <c r="R1089" s="276">
        <v>-5</v>
      </c>
      <c r="T1089" s="268">
        <v>6.94</v>
      </c>
    </row>
    <row r="1090" spans="1:20" ht="14.5" x14ac:dyDescent="0.35">
      <c r="A1090" s="274">
        <f>MATCH(B1090,STUDIES!$A$3:$A$502,0)</f>
        <v>70</v>
      </c>
      <c r="B1090" s="86" t="s">
        <v>1867</v>
      </c>
      <c r="D1090" s="281" t="s">
        <v>1873</v>
      </c>
      <c r="E1090" s="272" t="s">
        <v>153</v>
      </c>
      <c r="F1090" s="155" t="str">
        <f>_xlfn.XLOOKUP(B1090,STUDIES!$A$3:$A$1063,STUDIES!$G$3:$G$1063,"Not Found!")</f>
        <v>A</v>
      </c>
      <c r="G1090" s="273" t="s">
        <v>147</v>
      </c>
      <c r="H1090" s="273">
        <v>16</v>
      </c>
      <c r="I1090" s="273">
        <v>52</v>
      </c>
      <c r="R1090" s="276">
        <v>-7</v>
      </c>
      <c r="T1090" s="268">
        <v>7.37</v>
      </c>
    </row>
    <row r="1091" spans="1:20" ht="14.5" x14ac:dyDescent="0.35">
      <c r="A1091" s="274">
        <f>MATCH(B1091,STUDIES!$A$3:$A$502,0)</f>
        <v>70</v>
      </c>
      <c r="B1091" s="86" t="s">
        <v>1867</v>
      </c>
      <c r="D1091" s="281" t="s">
        <v>148</v>
      </c>
      <c r="E1091" s="272" t="s">
        <v>153</v>
      </c>
      <c r="F1091" s="155" t="str">
        <f>_xlfn.XLOOKUP(B1091,STUDIES!$A$3:$A$1063,STUDIES!$G$3:$G$1063,"Not Found!")</f>
        <v>A</v>
      </c>
      <c r="G1091" s="273" t="s">
        <v>147</v>
      </c>
      <c r="H1091" s="273">
        <v>16</v>
      </c>
      <c r="I1091" s="273">
        <v>51</v>
      </c>
      <c r="R1091" s="276">
        <v>-5.5</v>
      </c>
      <c r="T1091" s="268">
        <v>7.33</v>
      </c>
    </row>
    <row r="1092" spans="1:20" ht="18" customHeight="1" x14ac:dyDescent="0.35">
      <c r="A1092" s="274">
        <f>MATCH(B1092,STUDIES!$A$3:$A$502,0)</f>
        <v>71</v>
      </c>
      <c r="B1092" s="272" t="s">
        <v>1627</v>
      </c>
      <c r="D1092" s="232" t="s">
        <v>1629</v>
      </c>
      <c r="E1092" s="272" t="s">
        <v>151</v>
      </c>
      <c r="F1092" s="155" t="str">
        <f>_xlfn.XLOOKUP(B1092,STUDIES!$A$3:$A$1063,STUDIES!$G$3:$G$1063,"Not Found!")</f>
        <v>A</v>
      </c>
      <c r="G1092" s="273" t="s">
        <v>147</v>
      </c>
      <c r="H1092" s="273">
        <v>16</v>
      </c>
      <c r="I1092" s="273">
        <v>52</v>
      </c>
      <c r="R1092" s="283">
        <v>-22.5</v>
      </c>
      <c r="T1092" s="268">
        <v>14.7</v>
      </c>
    </row>
    <row r="1093" spans="1:20" ht="18" customHeight="1" x14ac:dyDescent="0.35">
      <c r="A1093" s="274">
        <f>MATCH(B1093,STUDIES!$A$3:$A$502,0)</f>
        <v>71</v>
      </c>
      <c r="B1093" s="272" t="s">
        <v>1627</v>
      </c>
      <c r="D1093" s="232" t="s">
        <v>1630</v>
      </c>
      <c r="E1093" s="272" t="s">
        <v>151</v>
      </c>
      <c r="F1093" s="155" t="str">
        <f>_xlfn.XLOOKUP(B1093,STUDIES!$A$3:$A$1063,STUDIES!$G$3:$G$1063,"Not Found!")</f>
        <v>A</v>
      </c>
      <c r="G1093" s="273" t="s">
        <v>147</v>
      </c>
      <c r="H1093" s="273">
        <v>16</v>
      </c>
      <c r="I1093" s="273">
        <v>52</v>
      </c>
      <c r="R1093" s="283">
        <v>-20.7</v>
      </c>
      <c r="T1093" s="268">
        <v>14.3</v>
      </c>
    </row>
    <row r="1094" spans="1:20" ht="18" customHeight="1" x14ac:dyDescent="0.35">
      <c r="A1094" s="274">
        <f>MATCH(B1094,STUDIES!$A$3:$A$502,0)</f>
        <v>71</v>
      </c>
      <c r="B1094" s="272" t="s">
        <v>1627</v>
      </c>
      <c r="D1094" s="232" t="s">
        <v>1631</v>
      </c>
      <c r="E1094" s="272" t="s">
        <v>151</v>
      </c>
      <c r="F1094" s="155" t="str">
        <f>_xlfn.XLOOKUP(B1094,STUDIES!$A$3:$A$1063,STUDIES!$G$3:$G$1063,"Not Found!")</f>
        <v>A</v>
      </c>
      <c r="G1094" s="273" t="s">
        <v>147</v>
      </c>
      <c r="H1094" s="273">
        <v>16</v>
      </c>
      <c r="I1094" s="273">
        <v>52</v>
      </c>
      <c r="R1094" s="283">
        <v>-23.3</v>
      </c>
      <c r="T1094" s="268">
        <v>9</v>
      </c>
    </row>
    <row r="1095" spans="1:20" ht="18" customHeight="1" x14ac:dyDescent="0.35">
      <c r="A1095" s="274">
        <f>MATCH(B1095,STUDIES!$A$3:$A$502,0)</f>
        <v>71</v>
      </c>
      <c r="B1095" s="272" t="s">
        <v>1627</v>
      </c>
      <c r="D1095" s="232" t="s">
        <v>1632</v>
      </c>
      <c r="E1095" s="272" t="s">
        <v>151</v>
      </c>
      <c r="F1095" s="155" t="str">
        <f>_xlfn.XLOOKUP(B1095,STUDIES!$A$3:$A$1063,STUDIES!$G$3:$G$1063,"Not Found!")</f>
        <v>A</v>
      </c>
      <c r="G1095" s="273" t="s">
        <v>147</v>
      </c>
      <c r="H1095" s="273">
        <v>16</v>
      </c>
      <c r="I1095" s="273">
        <v>54</v>
      </c>
      <c r="R1095" s="283">
        <v>-19.899999999999999</v>
      </c>
      <c r="T1095" s="268">
        <v>11.8</v>
      </c>
    </row>
    <row r="1096" spans="1:20" ht="18" customHeight="1" x14ac:dyDescent="0.35">
      <c r="A1096" s="274">
        <f>MATCH(B1096,STUDIES!$A$3:$A$502,0)</f>
        <v>71</v>
      </c>
      <c r="B1096" s="272" t="s">
        <v>1627</v>
      </c>
      <c r="D1096" s="281" t="s">
        <v>148</v>
      </c>
      <c r="E1096" s="272" t="s">
        <v>151</v>
      </c>
      <c r="F1096" s="155" t="str">
        <f>_xlfn.XLOOKUP(B1096,STUDIES!$A$3:$A$1063,STUDIES!$G$3:$G$1063,"Not Found!")</f>
        <v>A</v>
      </c>
      <c r="G1096" s="273" t="s">
        <v>147</v>
      </c>
      <c r="H1096" s="273">
        <v>16</v>
      </c>
      <c r="I1096" s="273">
        <v>57</v>
      </c>
      <c r="R1096" s="283">
        <v>-9.8000000000000007</v>
      </c>
      <c r="T1096" s="268">
        <v>13</v>
      </c>
    </row>
    <row r="1097" spans="1:20" ht="18" customHeight="1" x14ac:dyDescent="0.35">
      <c r="A1097" s="274">
        <f>MATCH(B1097,STUDIES!$A$3:$A$502,0)</f>
        <v>71</v>
      </c>
      <c r="B1097" s="272" t="s">
        <v>1627</v>
      </c>
      <c r="D1097" s="232" t="s">
        <v>1629</v>
      </c>
      <c r="E1097" s="272" t="s">
        <v>1258</v>
      </c>
      <c r="F1097" s="155" t="str">
        <f>_xlfn.XLOOKUP(B1097,STUDIES!$A$3:$A$1063,STUDIES!$G$3:$G$1063,"Not Found!")</f>
        <v>A</v>
      </c>
      <c r="G1097" s="273" t="s">
        <v>147</v>
      </c>
      <c r="H1097" s="273">
        <v>16</v>
      </c>
      <c r="I1097" s="273">
        <v>52</v>
      </c>
      <c r="J1097" s="274">
        <v>30</v>
      </c>
    </row>
    <row r="1098" spans="1:20" ht="18" customHeight="1" x14ac:dyDescent="0.35">
      <c r="A1098" s="274">
        <f>MATCH(B1098,STUDIES!$A$3:$A$502,0)</f>
        <v>71</v>
      </c>
      <c r="B1098" s="272" t="s">
        <v>1627</v>
      </c>
      <c r="D1098" s="232" t="s">
        <v>1630</v>
      </c>
      <c r="E1098" s="272" t="s">
        <v>1258</v>
      </c>
      <c r="F1098" s="155" t="str">
        <f>_xlfn.XLOOKUP(B1098,STUDIES!$A$3:$A$1063,STUDIES!$G$3:$G$1063,"Not Found!")</f>
        <v>A</v>
      </c>
      <c r="G1098" s="273" t="s">
        <v>147</v>
      </c>
      <c r="H1098" s="273">
        <v>16</v>
      </c>
      <c r="I1098" s="273">
        <v>52</v>
      </c>
      <c r="J1098" s="274">
        <v>31</v>
      </c>
    </row>
    <row r="1099" spans="1:20" ht="18" customHeight="1" x14ac:dyDescent="0.35">
      <c r="A1099" s="274">
        <f>MATCH(B1099,STUDIES!$A$3:$A$502,0)</f>
        <v>71</v>
      </c>
      <c r="B1099" s="272" t="s">
        <v>1627</v>
      </c>
      <c r="D1099" s="232" t="s">
        <v>1631</v>
      </c>
      <c r="E1099" s="272" t="s">
        <v>1258</v>
      </c>
      <c r="F1099" s="155" t="str">
        <f>_xlfn.XLOOKUP(B1099,STUDIES!$A$3:$A$1063,STUDIES!$G$3:$G$1063,"Not Found!")</f>
        <v>A</v>
      </c>
      <c r="G1099" s="273" t="s">
        <v>147</v>
      </c>
      <c r="H1099" s="273">
        <v>16</v>
      </c>
      <c r="I1099" s="273">
        <v>52</v>
      </c>
      <c r="J1099" s="274">
        <v>36</v>
      </c>
    </row>
    <row r="1100" spans="1:20" ht="18" customHeight="1" x14ac:dyDescent="0.35">
      <c r="A1100" s="274">
        <f>MATCH(B1100,STUDIES!$A$3:$A$502,0)</f>
        <v>71</v>
      </c>
      <c r="B1100" s="272" t="s">
        <v>1627</v>
      </c>
      <c r="D1100" s="232" t="s">
        <v>1632</v>
      </c>
      <c r="E1100" s="272" t="s">
        <v>1258</v>
      </c>
      <c r="F1100" s="155" t="str">
        <f>_xlfn.XLOOKUP(B1100,STUDIES!$A$3:$A$1063,STUDIES!$G$3:$G$1063,"Not Found!")</f>
        <v>A</v>
      </c>
      <c r="G1100" s="273" t="s">
        <v>147</v>
      </c>
      <c r="H1100" s="273">
        <v>16</v>
      </c>
      <c r="I1100" s="273">
        <v>54</v>
      </c>
      <c r="J1100" s="274">
        <v>35</v>
      </c>
    </row>
    <row r="1101" spans="1:20" ht="18" customHeight="1" x14ac:dyDescent="0.35">
      <c r="A1101" s="274">
        <f>MATCH(B1101,STUDIES!$A$3:$A$502,0)</f>
        <v>71</v>
      </c>
      <c r="B1101" s="272" t="s">
        <v>1627</v>
      </c>
      <c r="D1101" s="281" t="s">
        <v>148</v>
      </c>
      <c r="E1101" s="272" t="s">
        <v>1258</v>
      </c>
      <c r="F1101" s="155" t="str">
        <f>_xlfn.XLOOKUP(B1101,STUDIES!$A$3:$A$1063,STUDIES!$G$3:$G$1063,"Not Found!")</f>
        <v>A</v>
      </c>
      <c r="G1101" s="273" t="s">
        <v>147</v>
      </c>
      <c r="H1101" s="273">
        <v>16</v>
      </c>
      <c r="I1101" s="273">
        <v>57</v>
      </c>
      <c r="J1101" s="274">
        <v>17</v>
      </c>
    </row>
    <row r="1102" spans="1:20" ht="18" customHeight="1" x14ac:dyDescent="0.35">
      <c r="A1102" s="274">
        <f>MATCH(B1102,STUDIES!$A$3:$A$502,0)</f>
        <v>71</v>
      </c>
      <c r="B1102" s="272" t="s">
        <v>1627</v>
      </c>
      <c r="D1102" s="232" t="s">
        <v>1629</v>
      </c>
      <c r="E1102" s="272" t="s">
        <v>1243</v>
      </c>
      <c r="F1102" s="155" t="str">
        <f>_xlfn.XLOOKUP(B1102,STUDIES!$A$3:$A$1063,STUDIES!$G$3:$G$1063,"Not Found!")</f>
        <v>A</v>
      </c>
      <c r="G1102" s="273" t="s">
        <v>147</v>
      </c>
      <c r="H1102" s="273">
        <v>16</v>
      </c>
      <c r="I1102" s="273">
        <v>52</v>
      </c>
      <c r="J1102" s="274">
        <v>23</v>
      </c>
    </row>
    <row r="1103" spans="1:20" ht="18" customHeight="1" x14ac:dyDescent="0.35">
      <c r="A1103" s="274">
        <f>MATCH(B1103,STUDIES!$A$3:$A$502,0)</f>
        <v>71</v>
      </c>
      <c r="B1103" s="272" t="s">
        <v>1627</v>
      </c>
      <c r="D1103" s="232" t="s">
        <v>1630</v>
      </c>
      <c r="E1103" s="272" t="s">
        <v>1243</v>
      </c>
      <c r="F1103" s="155" t="str">
        <f>_xlfn.XLOOKUP(B1103,STUDIES!$A$3:$A$1063,STUDIES!$G$3:$G$1063,"Not Found!")</f>
        <v>A</v>
      </c>
      <c r="G1103" s="273" t="s">
        <v>147</v>
      </c>
      <c r="H1103" s="273">
        <v>16</v>
      </c>
      <c r="I1103" s="273">
        <v>52</v>
      </c>
      <c r="J1103" s="274">
        <v>21</v>
      </c>
    </row>
    <row r="1104" spans="1:20" ht="18" customHeight="1" x14ac:dyDescent="0.35">
      <c r="A1104" s="274">
        <f>MATCH(B1104,STUDIES!$A$3:$A$502,0)</f>
        <v>71</v>
      </c>
      <c r="B1104" s="272" t="s">
        <v>1627</v>
      </c>
      <c r="D1104" s="232" t="s">
        <v>1631</v>
      </c>
      <c r="E1104" s="272" t="s">
        <v>1243</v>
      </c>
      <c r="F1104" s="155" t="str">
        <f>_xlfn.XLOOKUP(B1104,STUDIES!$A$3:$A$1063,STUDIES!$G$3:$G$1063,"Not Found!")</f>
        <v>A</v>
      </c>
      <c r="G1104" s="273" t="s">
        <v>147</v>
      </c>
      <c r="H1104" s="273">
        <v>16</v>
      </c>
      <c r="I1104" s="273">
        <v>52</v>
      </c>
      <c r="J1104" s="274">
        <v>28</v>
      </c>
    </row>
    <row r="1105" spans="1:23" ht="18" customHeight="1" x14ac:dyDescent="0.35">
      <c r="A1105" s="274">
        <f>MATCH(B1105,STUDIES!$A$3:$A$502,0)</f>
        <v>71</v>
      </c>
      <c r="B1105" s="272" t="s">
        <v>1627</v>
      </c>
      <c r="D1105" s="232" t="s">
        <v>1632</v>
      </c>
      <c r="E1105" s="272" t="s">
        <v>1243</v>
      </c>
      <c r="F1105" s="155" t="str">
        <f>_xlfn.XLOOKUP(B1105,STUDIES!$A$3:$A$1063,STUDIES!$G$3:$G$1063,"Not Found!")</f>
        <v>A</v>
      </c>
      <c r="G1105" s="273" t="s">
        <v>147</v>
      </c>
      <c r="H1105" s="273">
        <v>16</v>
      </c>
      <c r="I1105" s="273">
        <v>54</v>
      </c>
      <c r="J1105" s="274">
        <v>21</v>
      </c>
    </row>
    <row r="1106" spans="1:23" ht="18" customHeight="1" x14ac:dyDescent="0.35">
      <c r="A1106" s="274">
        <f>MATCH(B1106,STUDIES!$A$3:$A$502,0)</f>
        <v>71</v>
      </c>
      <c r="B1106" s="272" t="s">
        <v>1627</v>
      </c>
      <c r="D1106" s="281" t="s">
        <v>148</v>
      </c>
      <c r="E1106" s="272" t="s">
        <v>1243</v>
      </c>
      <c r="F1106" s="155" t="str">
        <f>_xlfn.XLOOKUP(B1106,STUDIES!$A$3:$A$1063,STUDIES!$G$3:$G$1063,"Not Found!")</f>
        <v>A</v>
      </c>
      <c r="G1106" s="273" t="s">
        <v>147</v>
      </c>
      <c r="H1106" s="273">
        <v>16</v>
      </c>
      <c r="I1106" s="273">
        <v>57</v>
      </c>
      <c r="J1106" s="274">
        <v>6</v>
      </c>
    </row>
    <row r="1107" spans="1:23" ht="18" customHeight="1" x14ac:dyDescent="0.35">
      <c r="A1107" s="274">
        <f>MATCH(B1107,STUDIES!$A$3:$A$502,0)</f>
        <v>71</v>
      </c>
      <c r="B1107" s="272" t="s">
        <v>1627</v>
      </c>
      <c r="D1107" s="232" t="s">
        <v>1629</v>
      </c>
      <c r="E1107" s="272" t="s">
        <v>1244</v>
      </c>
      <c r="F1107" s="155" t="str">
        <f>_xlfn.XLOOKUP(B1107,STUDIES!$A$3:$A$1063,STUDIES!$G$3:$G$1063,"Not Found!")</f>
        <v>A</v>
      </c>
      <c r="G1107" s="273" t="s">
        <v>147</v>
      </c>
      <c r="H1107" s="273">
        <v>16</v>
      </c>
      <c r="I1107" s="273">
        <v>52</v>
      </c>
      <c r="J1107" s="274">
        <v>10</v>
      </c>
    </row>
    <row r="1108" spans="1:23" ht="18" customHeight="1" x14ac:dyDescent="0.35">
      <c r="A1108" s="274">
        <f>MATCH(B1108,STUDIES!$A$3:$A$502,0)</f>
        <v>71</v>
      </c>
      <c r="B1108" s="272" t="s">
        <v>1627</v>
      </c>
      <c r="D1108" s="232" t="s">
        <v>1630</v>
      </c>
      <c r="E1108" s="272" t="s">
        <v>1244</v>
      </c>
      <c r="F1108" s="155" t="str">
        <f>_xlfn.XLOOKUP(B1108,STUDIES!$A$3:$A$1063,STUDIES!$G$3:$G$1063,"Not Found!")</f>
        <v>A</v>
      </c>
      <c r="G1108" s="273" t="s">
        <v>147</v>
      </c>
      <c r="H1108" s="273">
        <v>16</v>
      </c>
      <c r="I1108" s="273">
        <v>52</v>
      </c>
      <c r="J1108" s="274">
        <v>6</v>
      </c>
    </row>
    <row r="1109" spans="1:23" ht="18" customHeight="1" x14ac:dyDescent="0.35">
      <c r="A1109" s="274">
        <f>MATCH(B1109,STUDIES!$A$3:$A$502,0)</f>
        <v>71</v>
      </c>
      <c r="B1109" s="272" t="s">
        <v>1627</v>
      </c>
      <c r="D1109" s="232" t="s">
        <v>1631</v>
      </c>
      <c r="E1109" s="272" t="s">
        <v>1244</v>
      </c>
      <c r="F1109" s="155" t="str">
        <f>_xlfn.XLOOKUP(B1109,STUDIES!$A$3:$A$1063,STUDIES!$G$3:$G$1063,"Not Found!")</f>
        <v>A</v>
      </c>
      <c r="G1109" s="273" t="s">
        <v>147</v>
      </c>
      <c r="H1109" s="273">
        <v>16</v>
      </c>
      <c r="I1109" s="273">
        <v>52</v>
      </c>
      <c r="J1109" s="274">
        <v>19</v>
      </c>
    </row>
    <row r="1110" spans="1:23" ht="18" customHeight="1" x14ac:dyDescent="0.35">
      <c r="A1110" s="274">
        <f>MATCH(B1110,STUDIES!$A$3:$A$502,0)</f>
        <v>71</v>
      </c>
      <c r="B1110" s="272" t="s">
        <v>1627</v>
      </c>
      <c r="D1110" s="232" t="s">
        <v>1632</v>
      </c>
      <c r="E1110" s="272" t="s">
        <v>1244</v>
      </c>
      <c r="F1110" s="155" t="str">
        <f>_xlfn.XLOOKUP(B1110,STUDIES!$A$3:$A$1063,STUDIES!$G$3:$G$1063,"Not Found!")</f>
        <v>A</v>
      </c>
      <c r="G1110" s="273" t="s">
        <v>147</v>
      </c>
      <c r="H1110" s="273">
        <v>16</v>
      </c>
      <c r="I1110" s="273">
        <v>54</v>
      </c>
      <c r="J1110" s="274">
        <v>10</v>
      </c>
    </row>
    <row r="1111" spans="1:23" ht="18" customHeight="1" x14ac:dyDescent="0.35">
      <c r="A1111" s="274">
        <f>MATCH(B1111,STUDIES!$A$3:$A$502,0)</f>
        <v>71</v>
      </c>
      <c r="B1111" s="272" t="s">
        <v>1627</v>
      </c>
      <c r="D1111" s="281" t="s">
        <v>148</v>
      </c>
      <c r="E1111" s="272" t="s">
        <v>1244</v>
      </c>
      <c r="F1111" s="155" t="str">
        <f>_xlfn.XLOOKUP(B1111,STUDIES!$A$3:$A$1063,STUDIES!$G$3:$G$1063,"Not Found!")</f>
        <v>A</v>
      </c>
      <c r="G1111" s="273" t="s">
        <v>147</v>
      </c>
      <c r="H1111" s="273">
        <v>16</v>
      </c>
      <c r="I1111" s="273">
        <v>57</v>
      </c>
      <c r="J1111" s="274">
        <v>2</v>
      </c>
    </row>
    <row r="1112" spans="1:23" ht="18" customHeight="1" x14ac:dyDescent="0.35">
      <c r="A1112" s="274">
        <f>MATCH(B1112,STUDIES!$A$3:$A$502,0)</f>
        <v>71</v>
      </c>
      <c r="B1112" s="272" t="s">
        <v>1627</v>
      </c>
      <c r="D1112" s="232" t="s">
        <v>1629</v>
      </c>
      <c r="E1112" s="272" t="s">
        <v>1268</v>
      </c>
      <c r="F1112" s="155" t="str">
        <f>_xlfn.XLOOKUP(B1112,STUDIES!$A$3:$A$1063,STUDIES!$G$3:$G$1063,"Not Found!")</f>
        <v>A</v>
      </c>
      <c r="G1112" s="273" t="s">
        <v>147</v>
      </c>
      <c r="H1112" s="273">
        <v>16</v>
      </c>
      <c r="I1112" s="273">
        <v>52</v>
      </c>
      <c r="J1112" s="274">
        <v>10</v>
      </c>
    </row>
    <row r="1113" spans="1:23" ht="18" customHeight="1" x14ac:dyDescent="0.35">
      <c r="A1113" s="274">
        <f>MATCH(B1113,STUDIES!$A$3:$A$502,0)</f>
        <v>71</v>
      </c>
      <c r="B1113" s="272" t="s">
        <v>1627</v>
      </c>
      <c r="D1113" s="232" t="s">
        <v>1630</v>
      </c>
      <c r="E1113" s="272" t="s">
        <v>1268</v>
      </c>
      <c r="F1113" s="155" t="str">
        <f>_xlfn.XLOOKUP(B1113,STUDIES!$A$3:$A$1063,STUDIES!$G$3:$G$1063,"Not Found!")</f>
        <v>A</v>
      </c>
      <c r="G1113" s="273" t="s">
        <v>147</v>
      </c>
      <c r="H1113" s="273">
        <v>16</v>
      </c>
      <c r="I1113" s="273">
        <v>52</v>
      </c>
      <c r="J1113" s="274">
        <v>8</v>
      </c>
    </row>
    <row r="1114" spans="1:23" ht="18" customHeight="1" x14ac:dyDescent="0.35">
      <c r="A1114" s="274">
        <f>MATCH(B1114,STUDIES!$A$3:$A$502,0)</f>
        <v>71</v>
      </c>
      <c r="B1114" s="272" t="s">
        <v>1627</v>
      </c>
      <c r="D1114" s="232" t="s">
        <v>1631</v>
      </c>
      <c r="E1114" s="272" t="s">
        <v>1268</v>
      </c>
      <c r="F1114" s="155" t="str">
        <f>_xlfn.XLOOKUP(B1114,STUDIES!$A$3:$A$1063,STUDIES!$G$3:$G$1063,"Not Found!")</f>
        <v>A</v>
      </c>
      <c r="G1114" s="273" t="s">
        <v>147</v>
      </c>
      <c r="H1114" s="273">
        <v>16</v>
      </c>
      <c r="I1114" s="273">
        <v>52</v>
      </c>
      <c r="J1114" s="274">
        <v>16</v>
      </c>
    </row>
    <row r="1115" spans="1:23" ht="18" customHeight="1" x14ac:dyDescent="0.35">
      <c r="A1115" s="274">
        <f>MATCH(B1115,STUDIES!$A$3:$A$502,0)</f>
        <v>71</v>
      </c>
      <c r="B1115" s="272" t="s">
        <v>1627</v>
      </c>
      <c r="D1115" s="232" t="s">
        <v>1632</v>
      </c>
      <c r="E1115" s="272" t="s">
        <v>1268</v>
      </c>
      <c r="F1115" s="155" t="str">
        <f>_xlfn.XLOOKUP(B1115,STUDIES!$A$3:$A$1063,STUDIES!$G$3:$G$1063,"Not Found!")</f>
        <v>A</v>
      </c>
      <c r="G1115" s="273" t="s">
        <v>147</v>
      </c>
      <c r="H1115" s="273">
        <v>16</v>
      </c>
      <c r="I1115" s="273">
        <v>54</v>
      </c>
      <c r="J1115" s="274">
        <v>10</v>
      </c>
    </row>
    <row r="1116" spans="1:23" ht="18" customHeight="1" x14ac:dyDescent="0.35">
      <c r="A1116" s="274">
        <f>MATCH(B1116,STUDIES!$A$3:$A$502,0)</f>
        <v>71</v>
      </c>
      <c r="B1116" s="272" t="s">
        <v>1627</v>
      </c>
      <c r="D1116" s="281" t="s">
        <v>148</v>
      </c>
      <c r="E1116" s="272" t="s">
        <v>1268</v>
      </c>
      <c r="F1116" s="155" t="str">
        <f>_xlfn.XLOOKUP(B1116,STUDIES!$A$3:$A$1063,STUDIES!$G$3:$G$1063,"Not Found!")</f>
        <v>A</v>
      </c>
      <c r="G1116" s="273" t="s">
        <v>147</v>
      </c>
      <c r="H1116" s="273">
        <v>16</v>
      </c>
      <c r="I1116" s="273">
        <v>57</v>
      </c>
      <c r="J1116" s="274">
        <v>1</v>
      </c>
    </row>
    <row r="1117" spans="1:23" ht="18" customHeight="1" x14ac:dyDescent="0.35">
      <c r="A1117" s="274">
        <f>MATCH(B1117,STUDIES!$A$3:$A$502,0)</f>
        <v>71</v>
      </c>
      <c r="B1117" s="272" t="s">
        <v>1627</v>
      </c>
      <c r="D1117" s="232" t="s">
        <v>1629</v>
      </c>
      <c r="E1117" s="272" t="s">
        <v>695</v>
      </c>
      <c r="F1117" s="155" t="str">
        <f>_xlfn.XLOOKUP(B1117,STUDIES!$A$3:$A$1063,STUDIES!$G$3:$G$1063,"Not Found!")</f>
        <v>A</v>
      </c>
      <c r="G1117" s="273" t="s">
        <v>147</v>
      </c>
      <c r="H1117" s="273">
        <v>16</v>
      </c>
      <c r="I1117" s="273">
        <v>52</v>
      </c>
      <c r="R1117" s="283">
        <v>-2.04</v>
      </c>
      <c r="U1117" s="268">
        <v>-2.9</v>
      </c>
      <c r="V1117" s="268">
        <v>-1.18</v>
      </c>
      <c r="W1117" s="268">
        <v>0.95</v>
      </c>
    </row>
    <row r="1118" spans="1:23" ht="18" customHeight="1" x14ac:dyDescent="0.35">
      <c r="A1118" s="274">
        <f>MATCH(B1118,STUDIES!$A$3:$A$502,0)</f>
        <v>71</v>
      </c>
      <c r="B1118" s="272" t="s">
        <v>1627</v>
      </c>
      <c r="D1118" s="232" t="s">
        <v>1630</v>
      </c>
      <c r="E1118" s="272" t="s">
        <v>695</v>
      </c>
      <c r="F1118" s="155" t="str">
        <f>_xlfn.XLOOKUP(B1118,STUDIES!$A$3:$A$1063,STUDIES!$G$3:$G$1063,"Not Found!")</f>
        <v>A</v>
      </c>
      <c r="G1118" s="273" t="s">
        <v>147</v>
      </c>
      <c r="H1118" s="273">
        <v>16</v>
      </c>
      <c r="I1118" s="273">
        <v>52</v>
      </c>
      <c r="R1118" s="283">
        <v>-3.02</v>
      </c>
      <c r="U1118" s="268">
        <v>-3.9</v>
      </c>
      <c r="V1118" s="268">
        <v>-2.15</v>
      </c>
      <c r="W1118" s="268">
        <v>0.95</v>
      </c>
    </row>
    <row r="1119" spans="1:23" ht="18" customHeight="1" x14ac:dyDescent="0.35">
      <c r="A1119" s="274">
        <f>MATCH(B1119,STUDIES!$A$3:$A$502,0)</f>
        <v>71</v>
      </c>
      <c r="B1119" s="272" t="s">
        <v>1627</v>
      </c>
      <c r="D1119" s="232" t="s">
        <v>1631</v>
      </c>
      <c r="E1119" s="272" t="s">
        <v>695</v>
      </c>
      <c r="F1119" s="155" t="str">
        <f>_xlfn.XLOOKUP(B1119,STUDIES!$A$3:$A$1063,STUDIES!$G$3:$G$1063,"Not Found!")</f>
        <v>A</v>
      </c>
      <c r="G1119" s="273" t="s">
        <v>147</v>
      </c>
      <c r="H1119" s="273">
        <v>16</v>
      </c>
      <c r="I1119" s="273">
        <v>52</v>
      </c>
      <c r="R1119" s="283">
        <v>-3.6</v>
      </c>
      <c r="U1119" s="268">
        <v>-4.4400000000000004</v>
      </c>
      <c r="V1119" s="268">
        <v>-2.75</v>
      </c>
      <c r="W1119" s="268">
        <v>0.95</v>
      </c>
    </row>
    <row r="1120" spans="1:23" ht="18" customHeight="1" x14ac:dyDescent="0.35">
      <c r="A1120" s="274">
        <f>MATCH(B1120,STUDIES!$A$3:$A$502,0)</f>
        <v>71</v>
      </c>
      <c r="B1120" s="272" t="s">
        <v>1627</v>
      </c>
      <c r="D1120" s="232" t="s">
        <v>1632</v>
      </c>
      <c r="E1120" s="272" t="s">
        <v>695</v>
      </c>
      <c r="F1120" s="155" t="str">
        <f>_xlfn.XLOOKUP(B1120,STUDIES!$A$3:$A$1063,STUDIES!$G$3:$G$1063,"Not Found!")</f>
        <v>A</v>
      </c>
      <c r="G1120" s="273" t="s">
        <v>147</v>
      </c>
      <c r="H1120" s="273">
        <v>16</v>
      </c>
      <c r="I1120" s="273">
        <v>54</v>
      </c>
      <c r="R1120" s="283">
        <v>-2.81</v>
      </c>
      <c r="U1120" s="268">
        <v>-3.64</v>
      </c>
      <c r="V1120" s="268">
        <v>-1.97</v>
      </c>
      <c r="W1120" s="268">
        <v>0.95</v>
      </c>
    </row>
    <row r="1121" spans="1:23" ht="18" customHeight="1" x14ac:dyDescent="0.35">
      <c r="A1121" s="274">
        <f>MATCH(B1121,STUDIES!$A$3:$A$502,0)</f>
        <v>71</v>
      </c>
      <c r="B1121" s="272" t="s">
        <v>1627</v>
      </c>
      <c r="D1121" s="281" t="s">
        <v>148</v>
      </c>
      <c r="E1121" s="272" t="s">
        <v>695</v>
      </c>
      <c r="F1121" s="155" t="str">
        <f>_xlfn.XLOOKUP(B1121,STUDIES!$A$3:$A$1063,STUDIES!$G$3:$G$1063,"Not Found!")</f>
        <v>A</v>
      </c>
      <c r="G1121" s="273" t="s">
        <v>147</v>
      </c>
      <c r="H1121" s="273">
        <v>16</v>
      </c>
      <c r="I1121" s="273">
        <v>57</v>
      </c>
      <c r="R1121" s="283">
        <v>-1.31</v>
      </c>
      <c r="U1121" s="268">
        <v>-2.12</v>
      </c>
      <c r="V1121" s="268">
        <v>-0.49</v>
      </c>
      <c r="W1121" s="268">
        <v>0.95</v>
      </c>
    </row>
    <row r="1122" spans="1:23" ht="18" customHeight="1" x14ac:dyDescent="0.35">
      <c r="A1122" s="274">
        <f>MATCH(B1122,STUDIES!$A$3:$A$502,0)</f>
        <v>71</v>
      </c>
      <c r="B1122" s="272" t="s">
        <v>1627</v>
      </c>
      <c r="D1122" s="232" t="s">
        <v>1629</v>
      </c>
      <c r="E1122" s="272" t="s">
        <v>154</v>
      </c>
      <c r="F1122" s="155" t="str">
        <f>_xlfn.XLOOKUP(B1122,STUDIES!$A$3:$A$1063,STUDIES!$G$3:$G$1063,"Not Found!")</f>
        <v>A</v>
      </c>
      <c r="G1122" s="273" t="s">
        <v>147</v>
      </c>
      <c r="H1122" s="273">
        <v>16</v>
      </c>
      <c r="I1122" s="273">
        <v>52</v>
      </c>
      <c r="R1122" s="283">
        <v>-2.59</v>
      </c>
      <c r="U1122" s="268">
        <v>-4.7300000000000004</v>
      </c>
      <c r="V1122" s="268">
        <v>-0.44</v>
      </c>
      <c r="W1122" s="268">
        <v>0.95</v>
      </c>
    </row>
    <row r="1123" spans="1:23" ht="18" customHeight="1" x14ac:dyDescent="0.35">
      <c r="A1123" s="274">
        <f>MATCH(B1123,STUDIES!$A$3:$A$502,0)</f>
        <v>71</v>
      </c>
      <c r="B1123" s="272" t="s">
        <v>1627</v>
      </c>
      <c r="D1123" s="232" t="s">
        <v>1630</v>
      </c>
      <c r="E1123" s="272" t="s">
        <v>154</v>
      </c>
      <c r="F1123" s="155" t="str">
        <f>_xlfn.XLOOKUP(B1123,STUDIES!$A$3:$A$1063,STUDIES!$G$3:$G$1063,"Not Found!")</f>
        <v>A</v>
      </c>
      <c r="G1123" s="273" t="s">
        <v>147</v>
      </c>
      <c r="H1123" s="273">
        <v>16</v>
      </c>
      <c r="I1123" s="273">
        <v>52</v>
      </c>
      <c r="R1123" s="283">
        <v>-4.66</v>
      </c>
      <c r="U1123" s="268">
        <v>-6.89</v>
      </c>
      <c r="V1123" s="268">
        <v>-2.4300000000000002</v>
      </c>
      <c r="W1123" s="268">
        <v>0.95</v>
      </c>
    </row>
    <row r="1124" spans="1:23" ht="18" customHeight="1" x14ac:dyDescent="0.35">
      <c r="A1124" s="274">
        <f>MATCH(B1124,STUDIES!$A$3:$A$502,0)</f>
        <v>71</v>
      </c>
      <c r="B1124" s="272" t="s">
        <v>1627</v>
      </c>
      <c r="D1124" s="232" t="s">
        <v>1631</v>
      </c>
      <c r="E1124" s="272" t="s">
        <v>154</v>
      </c>
      <c r="F1124" s="155" t="str">
        <f>_xlfn.XLOOKUP(B1124,STUDIES!$A$3:$A$1063,STUDIES!$G$3:$G$1063,"Not Found!")</f>
        <v>A</v>
      </c>
      <c r="G1124" s="273" t="s">
        <v>147</v>
      </c>
      <c r="H1124" s="273">
        <v>16</v>
      </c>
      <c r="I1124" s="273">
        <v>52</v>
      </c>
      <c r="R1124" s="283">
        <v>-6.28</v>
      </c>
      <c r="U1124" s="268">
        <v>-8.3800000000000008</v>
      </c>
      <c r="V1124" s="268">
        <v>-4.18</v>
      </c>
      <c r="W1124" s="268">
        <v>0.95</v>
      </c>
    </row>
    <row r="1125" spans="1:23" ht="18" customHeight="1" x14ac:dyDescent="0.35">
      <c r="A1125" s="274">
        <f>MATCH(B1125,STUDIES!$A$3:$A$502,0)</f>
        <v>71</v>
      </c>
      <c r="B1125" s="272" t="s">
        <v>1627</v>
      </c>
      <c r="D1125" s="232" t="s">
        <v>1632</v>
      </c>
      <c r="E1125" s="272" t="s">
        <v>154</v>
      </c>
      <c r="F1125" s="155" t="str">
        <f>_xlfn.XLOOKUP(B1125,STUDIES!$A$3:$A$1063,STUDIES!$G$3:$G$1063,"Not Found!")</f>
        <v>A</v>
      </c>
      <c r="G1125" s="273" t="s">
        <v>147</v>
      </c>
      <c r="H1125" s="273">
        <v>16</v>
      </c>
      <c r="I1125" s="273">
        <v>54</v>
      </c>
      <c r="R1125" s="283">
        <v>-4.93</v>
      </c>
      <c r="U1125" s="268">
        <v>-7.01</v>
      </c>
      <c r="V1125" s="268">
        <v>-2.84</v>
      </c>
      <c r="W1125" s="268">
        <v>0.95</v>
      </c>
    </row>
    <row r="1126" spans="1:23" ht="18" customHeight="1" x14ac:dyDescent="0.35">
      <c r="A1126" s="274">
        <f>MATCH(B1126,STUDIES!$A$3:$A$502,0)</f>
        <v>71</v>
      </c>
      <c r="B1126" s="272" t="s">
        <v>1627</v>
      </c>
      <c r="D1126" s="281" t="s">
        <v>148</v>
      </c>
      <c r="E1126" s="272" t="s">
        <v>154</v>
      </c>
      <c r="F1126" s="155" t="str">
        <f>_xlfn.XLOOKUP(B1126,STUDIES!$A$3:$A$1063,STUDIES!$G$3:$G$1063,"Not Found!")</f>
        <v>A</v>
      </c>
      <c r="G1126" s="273" t="s">
        <v>147</v>
      </c>
      <c r="H1126" s="273">
        <v>16</v>
      </c>
      <c r="I1126" s="273">
        <v>57</v>
      </c>
      <c r="R1126" s="283">
        <v>0.19</v>
      </c>
      <c r="U1126" s="268">
        <v>-1.88</v>
      </c>
      <c r="V1126" s="268">
        <v>2.27</v>
      </c>
      <c r="W1126" s="268">
        <v>0.95</v>
      </c>
    </row>
    <row r="1127" spans="1:23" ht="18" customHeight="1" x14ac:dyDescent="0.35">
      <c r="A1127" s="274">
        <f>MATCH(B1127,STUDIES!$A$3:$A$502,0)</f>
        <v>72</v>
      </c>
      <c r="B1127" s="272" t="s">
        <v>1717</v>
      </c>
      <c r="D1127" s="281" t="s">
        <v>1056</v>
      </c>
      <c r="E1127" s="272" t="s">
        <v>1163</v>
      </c>
      <c r="F1127" s="155" t="str">
        <f>_xlfn.XLOOKUP(B1127,STUDIES!$A$3:$A$1063,STUDIES!$G$3:$G$1063,"Not Found!")</f>
        <v>A</v>
      </c>
      <c r="G1127" s="273" t="s">
        <v>147</v>
      </c>
      <c r="H1127" s="273">
        <v>12</v>
      </c>
      <c r="I1127" s="273">
        <v>127</v>
      </c>
      <c r="J1127" s="274">
        <f>0.016*I1127</f>
        <v>2.032</v>
      </c>
    </row>
    <row r="1128" spans="1:23" ht="18" customHeight="1" x14ac:dyDescent="0.35">
      <c r="A1128" s="274">
        <f>MATCH(B1128,STUDIES!$A$3:$A$502,0)</f>
        <v>72</v>
      </c>
      <c r="B1128" s="272" t="s">
        <v>1717</v>
      </c>
      <c r="D1128" s="281" t="s">
        <v>148</v>
      </c>
      <c r="E1128" s="272" t="s">
        <v>1163</v>
      </c>
      <c r="F1128" s="155" t="str">
        <f>_xlfn.XLOOKUP(B1128,STUDIES!$A$3:$A$1063,STUDIES!$G$3:$G$1063,"Not Found!")</f>
        <v>A</v>
      </c>
      <c r="G1128" s="273" t="s">
        <v>147</v>
      </c>
      <c r="H1128" s="273">
        <v>12</v>
      </c>
      <c r="I1128" s="273">
        <v>61</v>
      </c>
      <c r="J1128" s="274">
        <f>0.016*I1128</f>
        <v>0.97599999999999998</v>
      </c>
    </row>
    <row r="1129" spans="1:23" ht="18" customHeight="1" x14ac:dyDescent="0.35">
      <c r="A1129" s="274">
        <f>MATCH(B1129,STUDIES!$A$3:$A$502,0)</f>
        <v>73</v>
      </c>
      <c r="B1129" s="272" t="s">
        <v>1387</v>
      </c>
      <c r="D1129" s="281" t="s">
        <v>1393</v>
      </c>
      <c r="E1129" s="272" t="s">
        <v>1268</v>
      </c>
      <c r="F1129" s="155" t="str">
        <f>_xlfn.XLOOKUP(B1129,STUDIES!$A$3:$A$1063,STUDIES!$G$3:$G$1063,"Not Found!")</f>
        <v>C</v>
      </c>
      <c r="G1129" s="273" t="s">
        <v>147</v>
      </c>
      <c r="H1129" s="273">
        <v>16</v>
      </c>
      <c r="I1129" s="273">
        <v>83</v>
      </c>
      <c r="J1129" s="274">
        <f>0.277*I1129</f>
        <v>22.991000000000003</v>
      </c>
    </row>
    <row r="1130" spans="1:23" ht="18" customHeight="1" x14ac:dyDescent="0.35">
      <c r="A1130" s="274">
        <f>MATCH(B1130,STUDIES!$A$3:$A$502,0)</f>
        <v>73</v>
      </c>
      <c r="B1130" s="272" t="s">
        <v>1387</v>
      </c>
      <c r="D1130" s="281" t="s">
        <v>148</v>
      </c>
      <c r="E1130" s="272" t="s">
        <v>1268</v>
      </c>
      <c r="F1130" s="155" t="str">
        <f>_xlfn.XLOOKUP(B1130,STUDIES!$A$3:$A$1063,STUDIES!$G$3:$G$1063,"Not Found!")</f>
        <v>C</v>
      </c>
      <c r="G1130" s="273" t="s">
        <v>147</v>
      </c>
      <c r="H1130" s="273">
        <v>16</v>
      </c>
      <c r="I1130" s="273">
        <v>79</v>
      </c>
      <c r="J1130" s="274">
        <f>0.039*I1130</f>
        <v>3.081</v>
      </c>
    </row>
    <row r="1131" spans="1:23" ht="18" customHeight="1" x14ac:dyDescent="0.35">
      <c r="A1131" s="274">
        <f>MATCH(B1131,STUDIES!$A$3:$A$502,0)</f>
        <v>73</v>
      </c>
      <c r="B1131" s="272" t="s">
        <v>1387</v>
      </c>
      <c r="D1131" s="281" t="s">
        <v>1393</v>
      </c>
      <c r="E1131" s="272" t="s">
        <v>1243</v>
      </c>
      <c r="F1131" s="155" t="str">
        <f>_xlfn.XLOOKUP(B1131,STUDIES!$A$3:$A$1063,STUDIES!$G$3:$G$1063,"Not Found!")</f>
        <v>C</v>
      </c>
      <c r="G1131" s="273" t="s">
        <v>147</v>
      </c>
      <c r="H1131" s="273">
        <v>16</v>
      </c>
      <c r="I1131" s="273">
        <v>83</v>
      </c>
      <c r="J1131" s="274">
        <f>0.53*I1131</f>
        <v>43.99</v>
      </c>
    </row>
    <row r="1132" spans="1:23" ht="18" customHeight="1" x14ac:dyDescent="0.35">
      <c r="A1132" s="274">
        <f>MATCH(B1132,STUDIES!$A$3:$A$502,0)</f>
        <v>73</v>
      </c>
      <c r="B1132" s="272" t="s">
        <v>1387</v>
      </c>
      <c r="D1132" s="281" t="s">
        <v>148</v>
      </c>
      <c r="E1132" s="272" t="s">
        <v>1243</v>
      </c>
      <c r="F1132" s="155" t="str">
        <f>_xlfn.XLOOKUP(B1132,STUDIES!$A$3:$A$1063,STUDIES!$G$3:$G$1063,"Not Found!")</f>
        <v>C</v>
      </c>
      <c r="G1132" s="273" t="s">
        <v>147</v>
      </c>
      <c r="H1132" s="273">
        <v>16</v>
      </c>
      <c r="I1132" s="273">
        <v>79</v>
      </c>
      <c r="J1132" s="274">
        <f>0.107*I1132</f>
        <v>8.4529999999999994</v>
      </c>
    </row>
    <row r="1133" spans="1:23" ht="18" customHeight="1" x14ac:dyDescent="0.35">
      <c r="A1133" s="274">
        <f>MATCH(B1133,STUDIES!$A$3:$A$502,0)</f>
        <v>73</v>
      </c>
      <c r="B1133" s="272" t="s">
        <v>1387</v>
      </c>
      <c r="D1133" s="281" t="s">
        <v>1393</v>
      </c>
      <c r="E1133" s="272" t="s">
        <v>1163</v>
      </c>
      <c r="F1133" s="155" t="str">
        <f>_xlfn.XLOOKUP(B1133,STUDIES!$A$3:$A$1063,STUDIES!$G$3:$G$1063,"Not Found!")</f>
        <v>C</v>
      </c>
      <c r="G1133" s="273" t="s">
        <v>147</v>
      </c>
      <c r="H1133" s="273">
        <v>16</v>
      </c>
      <c r="I1133" s="273">
        <v>83</v>
      </c>
      <c r="J1133" s="274">
        <v>0</v>
      </c>
    </row>
    <row r="1134" spans="1:23" ht="18" customHeight="1" x14ac:dyDescent="0.35">
      <c r="A1134" s="274">
        <f>MATCH(B1134,STUDIES!$A$3:$A$502,0)</f>
        <v>73</v>
      </c>
      <c r="B1134" s="272" t="s">
        <v>1387</v>
      </c>
      <c r="D1134" s="281" t="s">
        <v>148</v>
      </c>
      <c r="E1134" s="272" t="s">
        <v>1163</v>
      </c>
      <c r="F1134" s="155" t="str">
        <f>_xlfn.XLOOKUP(B1134,STUDIES!$A$3:$A$1063,STUDIES!$G$3:$G$1063,"Not Found!")</f>
        <v>C</v>
      </c>
      <c r="G1134" s="273" t="s">
        <v>147</v>
      </c>
      <c r="H1134" s="273">
        <v>16</v>
      </c>
      <c r="I1134" s="273">
        <v>79</v>
      </c>
      <c r="J1134" s="274">
        <f>0.051*I1134</f>
        <v>4.0289999999999999</v>
      </c>
    </row>
    <row r="1135" spans="1:23" ht="18" customHeight="1" x14ac:dyDescent="0.35">
      <c r="A1135" s="274">
        <f>MATCH(B1135,STUDIES!$A$3:$A$502,0)</f>
        <v>73</v>
      </c>
      <c r="B1135" s="272" t="s">
        <v>1387</v>
      </c>
      <c r="D1135" s="281" t="s">
        <v>1393</v>
      </c>
      <c r="E1135" s="272" t="s">
        <v>1167</v>
      </c>
      <c r="F1135" s="155" t="str">
        <f>_xlfn.XLOOKUP(B1135,STUDIES!$A$3:$A$1063,STUDIES!$G$3:$G$1063,"Not Found!")</f>
        <v>C</v>
      </c>
      <c r="G1135" s="273" t="s">
        <v>147</v>
      </c>
      <c r="H1135" s="273">
        <v>16</v>
      </c>
      <c r="I1135" s="273">
        <v>83</v>
      </c>
      <c r="J1135" s="274">
        <f>0.012*I1135</f>
        <v>0.996</v>
      </c>
    </row>
    <row r="1136" spans="1:23" ht="18" customHeight="1" x14ac:dyDescent="0.35">
      <c r="A1136" s="274">
        <f>MATCH(B1136,STUDIES!$A$3:$A$502,0)</f>
        <v>73</v>
      </c>
      <c r="B1136" s="272" t="s">
        <v>1387</v>
      </c>
      <c r="D1136" s="281" t="s">
        <v>148</v>
      </c>
      <c r="E1136" s="272" t="s">
        <v>1167</v>
      </c>
      <c r="F1136" s="155" t="str">
        <f>_xlfn.XLOOKUP(B1136,STUDIES!$A$3:$A$1063,STUDIES!$G$3:$G$1063,"Not Found!")</f>
        <v>C</v>
      </c>
      <c r="G1136" s="273" t="s">
        <v>147</v>
      </c>
      <c r="H1136" s="273">
        <v>16</v>
      </c>
      <c r="I1136" s="273">
        <v>79</v>
      </c>
      <c r="J1136" s="274">
        <f>0.013*I1136</f>
        <v>1.0269999999999999</v>
      </c>
    </row>
    <row r="1137" spans="1:37" ht="18" customHeight="1" x14ac:dyDescent="0.35">
      <c r="A1137" s="274">
        <f>MATCH(B1137,STUDIES!$A$3:$A$502,0)</f>
        <v>74</v>
      </c>
      <c r="B1137" s="272" t="s">
        <v>1912</v>
      </c>
      <c r="D1137" s="281" t="s">
        <v>1422</v>
      </c>
      <c r="E1137" s="272" t="s">
        <v>1163</v>
      </c>
      <c r="F1137" s="155" t="str">
        <f>_xlfn.XLOOKUP(B1137,STUDIES!$A$3:$A$1063,STUDIES!$G$3:$G$1063,"Not Found!")</f>
        <v>A</v>
      </c>
      <c r="G1137" s="273" t="s">
        <v>147</v>
      </c>
      <c r="H1137">
        <v>16</v>
      </c>
      <c r="I1137" s="273">
        <v>20</v>
      </c>
      <c r="J1137" s="274">
        <v>3</v>
      </c>
    </row>
    <row r="1138" spans="1:37" ht="18" customHeight="1" x14ac:dyDescent="0.35">
      <c r="A1138" s="274">
        <f>MATCH(B1138,STUDIES!$A$3:$A$502,0)</f>
        <v>74</v>
      </c>
      <c r="B1138" s="272" t="s">
        <v>1912</v>
      </c>
      <c r="D1138" s="281" t="s">
        <v>148</v>
      </c>
      <c r="E1138" s="272" t="s">
        <v>1163</v>
      </c>
      <c r="F1138" s="155" t="str">
        <f>_xlfn.XLOOKUP(B1138,STUDIES!$A$3:$A$1063,STUDIES!$G$3:$G$1063,"Not Found!")</f>
        <v>A</v>
      </c>
      <c r="G1138" s="273" t="s">
        <v>147</v>
      </c>
      <c r="H1138">
        <v>16</v>
      </c>
      <c r="I1138" s="273">
        <v>8</v>
      </c>
      <c r="J1138" s="274">
        <v>1</v>
      </c>
    </row>
    <row r="1139" spans="1:37" ht="18" customHeight="1" x14ac:dyDescent="0.35">
      <c r="A1139" s="274">
        <f>MATCH(B1139,STUDIES!$A$3:$A$502,0)</f>
        <v>74</v>
      </c>
      <c r="B1139" s="272" t="s">
        <v>1912</v>
      </c>
      <c r="D1139" s="281" t="s">
        <v>1422</v>
      </c>
      <c r="E1139" s="272" t="s">
        <v>1167</v>
      </c>
      <c r="F1139" s="155" t="str">
        <f>_xlfn.XLOOKUP(B1139,STUDIES!$A$3:$A$1063,STUDIES!$G$3:$G$1063,"Not Found!")</f>
        <v>A</v>
      </c>
      <c r="G1139" s="273" t="s">
        <v>147</v>
      </c>
      <c r="H1139">
        <v>16</v>
      </c>
      <c r="I1139" s="273">
        <v>20</v>
      </c>
      <c r="J1139" s="274">
        <v>0</v>
      </c>
    </row>
    <row r="1140" spans="1:37" ht="18" customHeight="1" x14ac:dyDescent="0.35">
      <c r="A1140" s="274">
        <f>MATCH(B1140,STUDIES!$A$3:$A$502,0)</f>
        <v>74</v>
      </c>
      <c r="B1140" s="272" t="s">
        <v>1912</v>
      </c>
      <c r="D1140" s="281" t="s">
        <v>148</v>
      </c>
      <c r="E1140" s="272" t="s">
        <v>1167</v>
      </c>
      <c r="F1140" s="155" t="str">
        <f>_xlfn.XLOOKUP(B1140,STUDIES!$A$3:$A$1063,STUDIES!$G$3:$G$1063,"Not Found!")</f>
        <v>A</v>
      </c>
      <c r="G1140" s="273" t="s">
        <v>147</v>
      </c>
      <c r="H1140">
        <v>16</v>
      </c>
      <c r="I1140" s="273">
        <v>8</v>
      </c>
      <c r="J1140" s="274">
        <v>0</v>
      </c>
    </row>
    <row r="1141" spans="1:37" ht="18" customHeight="1" x14ac:dyDescent="0.35">
      <c r="A1141" s="274">
        <f>MATCH(B1141,STUDIES!$A$3:$A$502,0)</f>
        <v>52</v>
      </c>
      <c r="B1141" s="272" t="s">
        <v>1406</v>
      </c>
      <c r="D1141" s="281" t="s">
        <v>148</v>
      </c>
      <c r="E1141" s="272" t="s">
        <v>151</v>
      </c>
      <c r="F1141" s="155" t="str">
        <f>_xlfn.XLOOKUP(B1141,STUDIES!$A$3:$A$1063,STUDIES!$G$3:$G$1063,"Not Found!")</f>
        <v>A</v>
      </c>
      <c r="G1141" s="273" t="s">
        <v>147</v>
      </c>
      <c r="H1141" s="273">
        <v>16</v>
      </c>
      <c r="I1141" s="273">
        <v>93</v>
      </c>
      <c r="K1141" s="268">
        <v>30.9</v>
      </c>
      <c r="M1141" s="268">
        <v>11.6</v>
      </c>
      <c r="AJ1141" s="276">
        <v>-42.69</v>
      </c>
      <c r="AK1141" s="268">
        <v>4.1349999999999998</v>
      </c>
    </row>
    <row r="1142" spans="1:37" ht="18" customHeight="1" x14ac:dyDescent="0.35">
      <c r="A1142" s="274">
        <f>MATCH(B1142,STUDIES!$A$3:$A$502,0)</f>
        <v>52</v>
      </c>
      <c r="B1142" s="272" t="s">
        <v>1406</v>
      </c>
      <c r="D1142" s="281" t="s">
        <v>1042</v>
      </c>
      <c r="E1142" s="272" t="s">
        <v>151</v>
      </c>
      <c r="F1142" s="155" t="str">
        <f>_xlfn.XLOOKUP(B1142,STUDIES!$A$3:$A$1063,STUDIES!$G$3:$G$1063,"Not Found!")</f>
        <v>A</v>
      </c>
      <c r="G1142" s="273" t="s">
        <v>147</v>
      </c>
      <c r="H1142" s="273">
        <v>16</v>
      </c>
      <c r="I1142" s="273">
        <v>93</v>
      </c>
      <c r="K1142" s="268">
        <v>34.299999999999997</v>
      </c>
      <c r="M1142" s="268">
        <v>13.5</v>
      </c>
      <c r="AJ1142" s="276">
        <v>-60.34</v>
      </c>
      <c r="AK1142" s="268">
        <v>4.0179999999999998</v>
      </c>
    </row>
    <row r="1143" spans="1:37" ht="18" customHeight="1" x14ac:dyDescent="0.35">
      <c r="A1143" s="274">
        <f>MATCH(B1143,STUDIES!$A$3:$A$502,0)</f>
        <v>52</v>
      </c>
      <c r="B1143" s="272" t="s">
        <v>1406</v>
      </c>
      <c r="D1143" s="281" t="s">
        <v>1043</v>
      </c>
      <c r="E1143" s="272" t="s">
        <v>151</v>
      </c>
      <c r="F1143" s="155" t="str">
        <f>_xlfn.XLOOKUP(B1143,STUDIES!$A$3:$A$1063,STUDIES!$G$3:$G$1063,"Not Found!")</f>
        <v>A</v>
      </c>
      <c r="G1143" s="273" t="s">
        <v>147</v>
      </c>
      <c r="H1143" s="273">
        <v>16</v>
      </c>
      <c r="I1143" s="273">
        <v>185</v>
      </c>
      <c r="K1143" s="268">
        <v>30.6</v>
      </c>
      <c r="M1143" s="268">
        <v>12.4</v>
      </c>
      <c r="AJ1143" s="276">
        <v>-56.05</v>
      </c>
      <c r="AK1143" s="268">
        <v>2.7549999999999999</v>
      </c>
    </row>
    <row r="1144" spans="1:37" ht="18" customHeight="1" x14ac:dyDescent="0.35">
      <c r="A1144" s="274">
        <f>MATCH(B1144,STUDIES!$A$3:$A$502,0)</f>
        <v>52</v>
      </c>
      <c r="B1144" s="272" t="s">
        <v>1406</v>
      </c>
      <c r="D1144" s="281" t="s">
        <v>1044</v>
      </c>
      <c r="E1144" s="272" t="s">
        <v>151</v>
      </c>
      <c r="F1144" s="155" t="str">
        <f>_xlfn.XLOOKUP(B1144,STUDIES!$A$3:$A$1063,STUDIES!$G$3:$G$1063,"Not Found!")</f>
        <v>A</v>
      </c>
      <c r="G1144" s="273" t="s">
        <v>147</v>
      </c>
      <c r="H1144" s="273">
        <v>16</v>
      </c>
      <c r="I1144" s="273">
        <v>92</v>
      </c>
      <c r="K1144" s="268">
        <v>32.700000000000003</v>
      </c>
      <c r="M1144" s="268">
        <v>13.7</v>
      </c>
      <c r="AJ1144" s="276">
        <v>-63.31</v>
      </c>
      <c r="AK1144" s="268">
        <v>3.9220000000000002</v>
      </c>
    </row>
    <row r="1145" spans="1:37" ht="18" customHeight="1" x14ac:dyDescent="0.35">
      <c r="A1145" s="274">
        <f>MATCH(B1145,STUDIES!$A$3:$A$502,0)</f>
        <v>52</v>
      </c>
      <c r="B1145" s="272" t="s">
        <v>1406</v>
      </c>
      <c r="D1145" s="281" t="s">
        <v>148</v>
      </c>
      <c r="E1145" s="272" t="s">
        <v>695</v>
      </c>
      <c r="F1145" s="155" t="str">
        <f>_xlfn.XLOOKUP(B1145,STUDIES!$A$3:$A$1063,STUDIES!$G$3:$G$1063,"Not Found!")</f>
        <v>A</v>
      </c>
      <c r="G1145" s="273" t="s">
        <v>147</v>
      </c>
      <c r="H1145" s="273">
        <v>16</v>
      </c>
      <c r="I1145" s="273">
        <v>93</v>
      </c>
      <c r="R1145" s="283">
        <v>-1.42</v>
      </c>
      <c r="S1145" s="268">
        <v>0.27400000000000002</v>
      </c>
    </row>
    <row r="1146" spans="1:37" ht="18" customHeight="1" x14ac:dyDescent="0.35">
      <c r="A1146" s="274">
        <f>MATCH(B1146,STUDIES!$A$3:$A$502,0)</f>
        <v>52</v>
      </c>
      <c r="B1146" s="272" t="s">
        <v>1406</v>
      </c>
      <c r="D1146" s="281" t="s">
        <v>1042</v>
      </c>
      <c r="E1146" s="272" t="s">
        <v>695</v>
      </c>
      <c r="F1146" s="155" t="str">
        <f>_xlfn.XLOOKUP(B1146,STUDIES!$A$3:$A$1063,STUDIES!$G$3:$G$1063,"Not Found!")</f>
        <v>A</v>
      </c>
      <c r="G1146" s="273" t="s">
        <v>147</v>
      </c>
      <c r="H1146" s="273">
        <v>16</v>
      </c>
      <c r="I1146" s="273">
        <v>93</v>
      </c>
      <c r="R1146" s="283">
        <v>-2.34</v>
      </c>
      <c r="S1146" s="268">
        <v>0.26400000000000001</v>
      </c>
    </row>
    <row r="1147" spans="1:37" ht="18" customHeight="1" x14ac:dyDescent="0.35">
      <c r="A1147" s="274">
        <f>MATCH(B1147,STUDIES!$A$3:$A$502,0)</f>
        <v>52</v>
      </c>
      <c r="B1147" s="272" t="s">
        <v>1406</v>
      </c>
      <c r="D1147" s="281" t="s">
        <v>1043</v>
      </c>
      <c r="E1147" s="272" t="s">
        <v>695</v>
      </c>
      <c r="F1147" s="155" t="str">
        <f>_xlfn.XLOOKUP(B1147,STUDIES!$A$3:$A$1063,STUDIES!$G$3:$G$1063,"Not Found!")</f>
        <v>A</v>
      </c>
      <c r="G1147" s="273" t="s">
        <v>147</v>
      </c>
      <c r="H1147" s="273">
        <v>16</v>
      </c>
      <c r="I1147" s="273">
        <v>185</v>
      </c>
      <c r="R1147" s="283">
        <v>-2.27</v>
      </c>
      <c r="S1147" s="268">
        <v>0.184</v>
      </c>
    </row>
    <row r="1148" spans="1:37" ht="18" customHeight="1" x14ac:dyDescent="0.35">
      <c r="A1148" s="274">
        <f>MATCH(B1148,STUDIES!$A$3:$A$502,0)</f>
        <v>52</v>
      </c>
      <c r="B1148" s="272" t="s">
        <v>1406</v>
      </c>
      <c r="D1148" s="281" t="s">
        <v>1044</v>
      </c>
      <c r="E1148" s="272" t="s">
        <v>695</v>
      </c>
      <c r="F1148" s="155" t="str">
        <f>_xlfn.XLOOKUP(B1148,STUDIES!$A$3:$A$1063,STUDIES!$G$3:$G$1063,"Not Found!")</f>
        <v>A</v>
      </c>
      <c r="G1148" s="273" t="s">
        <v>147</v>
      </c>
      <c r="H1148" s="273">
        <v>16</v>
      </c>
      <c r="I1148" s="273">
        <v>92</v>
      </c>
      <c r="R1148" s="283">
        <v>-2.84</v>
      </c>
      <c r="S1148" s="268">
        <v>0.26100000000000001</v>
      </c>
    </row>
    <row r="1149" spans="1:37" ht="18" customHeight="1" x14ac:dyDescent="0.35">
      <c r="A1149" s="274">
        <f>MATCH(B1149,STUDIES!$A$3:$A$502,0)</f>
        <v>52</v>
      </c>
      <c r="B1149" s="272" t="s">
        <v>1406</v>
      </c>
      <c r="D1149" s="281" t="s">
        <v>148</v>
      </c>
      <c r="E1149" s="272" t="s">
        <v>1243</v>
      </c>
      <c r="F1149" s="155" t="str">
        <f>_xlfn.XLOOKUP(B1149,STUDIES!$A$3:$A$1063,STUDIES!$G$3:$G$1063,"Not Found!")</f>
        <v>A</v>
      </c>
      <c r="G1149" s="273" t="s">
        <v>152</v>
      </c>
      <c r="H1149" s="273">
        <v>52</v>
      </c>
      <c r="I1149" s="273">
        <v>93</v>
      </c>
      <c r="J1149" s="274">
        <v>25</v>
      </c>
    </row>
    <row r="1150" spans="1:37" ht="18" customHeight="1" x14ac:dyDescent="0.35">
      <c r="A1150" s="274">
        <f>MATCH(B1150,STUDIES!$A$3:$A$502,0)</f>
        <v>52</v>
      </c>
      <c r="B1150" s="272" t="s">
        <v>1406</v>
      </c>
      <c r="D1150" s="281" t="s">
        <v>1042</v>
      </c>
      <c r="E1150" s="272" t="s">
        <v>1243</v>
      </c>
      <c r="F1150" s="155" t="str">
        <f>_xlfn.XLOOKUP(B1150,STUDIES!$A$3:$A$1063,STUDIES!$G$3:$G$1063,"Not Found!")</f>
        <v>A</v>
      </c>
      <c r="G1150" s="273" t="s">
        <v>152</v>
      </c>
      <c r="H1150" s="273">
        <v>52</v>
      </c>
      <c r="I1150" s="273">
        <v>93</v>
      </c>
      <c r="J1150" s="274">
        <v>31</v>
      </c>
    </row>
    <row r="1151" spans="1:37" ht="18" customHeight="1" x14ac:dyDescent="0.35">
      <c r="A1151" s="274">
        <f>MATCH(B1151,STUDIES!$A$3:$A$502,0)</f>
        <v>52</v>
      </c>
      <c r="B1151" s="272" t="s">
        <v>1406</v>
      </c>
      <c r="D1151" s="281" t="s">
        <v>1043</v>
      </c>
      <c r="E1151" s="272" t="s">
        <v>1243</v>
      </c>
      <c r="F1151" s="155" t="str">
        <f>_xlfn.XLOOKUP(B1151,STUDIES!$A$3:$A$1063,STUDIES!$G$3:$G$1063,"Not Found!")</f>
        <v>A</v>
      </c>
      <c r="G1151" s="273" t="s">
        <v>152</v>
      </c>
      <c r="H1151" s="273">
        <v>52</v>
      </c>
      <c r="I1151" s="273">
        <v>185</v>
      </c>
      <c r="J1151" s="274">
        <v>56</v>
      </c>
    </row>
    <row r="1152" spans="1:37" ht="18" customHeight="1" x14ac:dyDescent="0.35">
      <c r="A1152" s="274">
        <f>MATCH(B1152,STUDIES!$A$3:$A$502,0)</f>
        <v>52</v>
      </c>
      <c r="B1152" s="272" t="s">
        <v>1406</v>
      </c>
      <c r="D1152" s="281" t="s">
        <v>1044</v>
      </c>
      <c r="E1152" s="272" t="s">
        <v>1243</v>
      </c>
      <c r="F1152" s="155" t="str">
        <f>_xlfn.XLOOKUP(B1152,STUDIES!$A$3:$A$1063,STUDIES!$G$3:$G$1063,"Not Found!")</f>
        <v>A</v>
      </c>
      <c r="G1152" s="273" t="s">
        <v>152</v>
      </c>
      <c r="H1152" s="273">
        <v>52</v>
      </c>
      <c r="I1152" s="273">
        <v>92</v>
      </c>
      <c r="J1152" s="274">
        <v>34</v>
      </c>
    </row>
    <row r="1153" spans="1:37" ht="18" customHeight="1" x14ac:dyDescent="0.35">
      <c r="A1153" s="274">
        <f>MATCH(B1153,STUDIES!$A$3:$A$502,0)</f>
        <v>52</v>
      </c>
      <c r="B1153" s="272" t="s">
        <v>1406</v>
      </c>
      <c r="D1153" s="281" t="s">
        <v>148</v>
      </c>
      <c r="E1153" s="272" t="s">
        <v>151</v>
      </c>
      <c r="F1153" s="155" t="str">
        <f>_xlfn.XLOOKUP(B1153,STUDIES!$A$3:$A$1063,STUDIES!$G$3:$G$1063,"Not Found!")</f>
        <v>A</v>
      </c>
      <c r="G1153" s="273" t="s">
        <v>152</v>
      </c>
      <c r="H1153" s="273">
        <v>52</v>
      </c>
      <c r="I1153" s="273">
        <v>93</v>
      </c>
      <c r="K1153" s="268">
        <v>30.9</v>
      </c>
      <c r="M1153" s="268">
        <v>11.6</v>
      </c>
      <c r="AJ1153" s="276">
        <v>-42.58</v>
      </c>
      <c r="AK1153" s="268">
        <v>4.1399999999999997</v>
      </c>
    </row>
    <row r="1154" spans="1:37" ht="18" customHeight="1" x14ac:dyDescent="0.35">
      <c r="A1154" s="274">
        <f>MATCH(B1154,STUDIES!$A$3:$A$502,0)</f>
        <v>52</v>
      </c>
      <c r="B1154" s="272" t="s">
        <v>1406</v>
      </c>
      <c r="D1154" s="281" t="s">
        <v>1042</v>
      </c>
      <c r="E1154" s="272" t="s">
        <v>151</v>
      </c>
      <c r="F1154" s="155" t="str">
        <f>_xlfn.XLOOKUP(B1154,STUDIES!$A$3:$A$1063,STUDIES!$G$3:$G$1063,"Not Found!")</f>
        <v>A</v>
      </c>
      <c r="G1154" s="273" t="s">
        <v>152</v>
      </c>
      <c r="H1154" s="273">
        <v>52</v>
      </c>
      <c r="I1154" s="273">
        <v>93</v>
      </c>
      <c r="K1154" s="268">
        <v>34.299999999999997</v>
      </c>
      <c r="M1154" s="268">
        <v>13.5</v>
      </c>
      <c r="AJ1154" s="276">
        <v>-57.82</v>
      </c>
      <c r="AK1154" s="268">
        <v>4.1680000000000001</v>
      </c>
    </row>
    <row r="1155" spans="1:37" ht="18" customHeight="1" x14ac:dyDescent="0.35">
      <c r="A1155" s="274">
        <f>MATCH(B1155,STUDIES!$A$3:$A$502,0)</f>
        <v>52</v>
      </c>
      <c r="B1155" s="272" t="s">
        <v>1406</v>
      </c>
      <c r="D1155" s="281" t="s">
        <v>1043</v>
      </c>
      <c r="E1155" s="272" t="s">
        <v>151</v>
      </c>
      <c r="F1155" s="155" t="str">
        <f>_xlfn.XLOOKUP(B1155,STUDIES!$A$3:$A$1063,STUDIES!$G$3:$G$1063,"Not Found!")</f>
        <v>A</v>
      </c>
      <c r="G1155" s="273" t="s">
        <v>152</v>
      </c>
      <c r="H1155" s="273">
        <v>52</v>
      </c>
      <c r="I1155" s="273">
        <v>185</v>
      </c>
      <c r="K1155" s="268">
        <v>30.6</v>
      </c>
      <c r="M1155" s="268">
        <v>12.4</v>
      </c>
      <c r="AJ1155" s="276">
        <v>-56.36</v>
      </c>
      <c r="AK1155" s="268">
        <v>3.0779999999999998</v>
      </c>
    </row>
    <row r="1156" spans="1:37" ht="18" customHeight="1" x14ac:dyDescent="0.35">
      <c r="A1156" s="274">
        <f>MATCH(B1156,STUDIES!$A$3:$A$502,0)</f>
        <v>52</v>
      </c>
      <c r="B1156" s="272" t="s">
        <v>1406</v>
      </c>
      <c r="D1156" s="281" t="s">
        <v>1044</v>
      </c>
      <c r="E1156" s="272" t="s">
        <v>151</v>
      </c>
      <c r="F1156" s="155" t="str">
        <f>_xlfn.XLOOKUP(B1156,STUDIES!$A$3:$A$1063,STUDIES!$G$3:$G$1063,"Not Found!")</f>
        <v>A</v>
      </c>
      <c r="G1156" s="273" t="s">
        <v>152</v>
      </c>
      <c r="H1156" s="273">
        <v>52</v>
      </c>
      <c r="I1156" s="273">
        <v>92</v>
      </c>
      <c r="K1156" s="268">
        <v>32.700000000000003</v>
      </c>
      <c r="M1156" s="268">
        <v>13.7</v>
      </c>
      <c r="AJ1156" s="276">
        <v>-58.35</v>
      </c>
      <c r="AK1156" s="268">
        <v>4.1459999999999999</v>
      </c>
    </row>
    <row r="1157" spans="1:37" ht="18" customHeight="1" x14ac:dyDescent="0.35">
      <c r="A1157" s="274">
        <f>MATCH(B1157,STUDIES!$A$3:$A$502,0)</f>
        <v>52</v>
      </c>
      <c r="B1157" s="272" t="s">
        <v>1406</v>
      </c>
      <c r="D1157" s="281" t="s">
        <v>148</v>
      </c>
      <c r="E1157" s="272" t="s">
        <v>1268</v>
      </c>
      <c r="F1157" s="155" t="str">
        <f>_xlfn.XLOOKUP(B1157,STUDIES!$A$3:$A$1063,STUDIES!$G$3:$G$1063,"Not Found!")</f>
        <v>A</v>
      </c>
      <c r="G1157" s="273" t="s">
        <v>152</v>
      </c>
      <c r="H1157" s="273">
        <v>52</v>
      </c>
      <c r="I1157" s="273">
        <v>93</v>
      </c>
      <c r="J1157" s="274">
        <v>15</v>
      </c>
    </row>
    <row r="1158" spans="1:37" ht="18" customHeight="1" x14ac:dyDescent="0.35">
      <c r="A1158" s="274">
        <f>MATCH(B1158,STUDIES!$A$3:$A$502,0)</f>
        <v>52</v>
      </c>
      <c r="B1158" s="272" t="s">
        <v>1406</v>
      </c>
      <c r="D1158" s="281" t="s">
        <v>1042</v>
      </c>
      <c r="E1158" s="272" t="s">
        <v>1268</v>
      </c>
      <c r="F1158" s="155" t="str">
        <f>_xlfn.XLOOKUP(B1158,STUDIES!$A$3:$A$1063,STUDIES!$G$3:$G$1063,"Not Found!")</f>
        <v>A</v>
      </c>
      <c r="G1158" s="273" t="s">
        <v>152</v>
      </c>
      <c r="H1158" s="273">
        <v>52</v>
      </c>
      <c r="I1158" s="273">
        <v>93</v>
      </c>
      <c r="J1158" s="274">
        <v>19</v>
      </c>
    </row>
    <row r="1159" spans="1:37" ht="18" customHeight="1" x14ac:dyDescent="0.35">
      <c r="A1159" s="274">
        <f>MATCH(B1159,STUDIES!$A$3:$A$502,0)</f>
        <v>52</v>
      </c>
      <c r="B1159" s="272" t="s">
        <v>1406</v>
      </c>
      <c r="D1159" s="281" t="s">
        <v>1043</v>
      </c>
      <c r="E1159" s="272" t="s">
        <v>1268</v>
      </c>
      <c r="F1159" s="155" t="str">
        <f>_xlfn.XLOOKUP(B1159,STUDIES!$A$3:$A$1063,STUDIES!$G$3:$G$1063,"Not Found!")</f>
        <v>A</v>
      </c>
      <c r="G1159" s="273" t="s">
        <v>152</v>
      </c>
      <c r="H1159" s="273">
        <v>52</v>
      </c>
      <c r="I1159" s="273">
        <v>185</v>
      </c>
      <c r="J1159" s="274">
        <v>33</v>
      </c>
    </row>
    <row r="1160" spans="1:37" ht="18" customHeight="1" x14ac:dyDescent="0.35">
      <c r="A1160" s="274">
        <f>MATCH(B1160,STUDIES!$A$3:$A$502,0)</f>
        <v>52</v>
      </c>
      <c r="B1160" s="272" t="s">
        <v>1406</v>
      </c>
      <c r="D1160" s="281" t="s">
        <v>1044</v>
      </c>
      <c r="E1160" s="272" t="s">
        <v>1268</v>
      </c>
      <c r="F1160" s="155" t="str">
        <f>_xlfn.XLOOKUP(B1160,STUDIES!$A$3:$A$1063,STUDIES!$G$3:$G$1063,"Not Found!")</f>
        <v>A</v>
      </c>
      <c r="G1160" s="273" t="s">
        <v>152</v>
      </c>
      <c r="H1160" s="273">
        <v>52</v>
      </c>
      <c r="I1160" s="273">
        <v>92</v>
      </c>
      <c r="J1160" s="274">
        <v>21</v>
      </c>
    </row>
    <row r="1161" spans="1:37" ht="18" customHeight="1" x14ac:dyDescent="0.35">
      <c r="A1161" s="274">
        <f>MATCH(B1161,STUDIES!$A$3:$A$502,0)</f>
        <v>52</v>
      </c>
      <c r="B1161" s="272" t="s">
        <v>1406</v>
      </c>
      <c r="D1161" s="281" t="s">
        <v>148</v>
      </c>
      <c r="E1161" s="272" t="s">
        <v>695</v>
      </c>
      <c r="F1161" s="155" t="str">
        <f>_xlfn.XLOOKUP(B1161,STUDIES!$A$3:$A$1063,STUDIES!$G$3:$G$1063,"Not Found!")</f>
        <v>A</v>
      </c>
      <c r="G1161" s="273" t="s">
        <v>152</v>
      </c>
      <c r="H1161" s="273">
        <v>52</v>
      </c>
      <c r="I1161" s="273">
        <v>93</v>
      </c>
      <c r="R1161" s="283">
        <v>-1.55</v>
      </c>
      <c r="S1161" s="268">
        <v>0.26700000000000002</v>
      </c>
    </row>
    <row r="1162" spans="1:37" ht="18" customHeight="1" x14ac:dyDescent="0.35">
      <c r="A1162" s="274">
        <f>MATCH(B1162,STUDIES!$A$3:$A$502,0)</f>
        <v>52</v>
      </c>
      <c r="B1162" s="272" t="s">
        <v>1406</v>
      </c>
      <c r="D1162" s="281" t="s">
        <v>1042</v>
      </c>
      <c r="E1162" s="272" t="s">
        <v>695</v>
      </c>
      <c r="F1162" s="155" t="str">
        <f>_xlfn.XLOOKUP(B1162,STUDIES!$A$3:$A$1063,STUDIES!$G$3:$G$1063,"Not Found!")</f>
        <v>A</v>
      </c>
      <c r="G1162" s="273" t="s">
        <v>152</v>
      </c>
      <c r="H1162" s="273">
        <v>52</v>
      </c>
      <c r="I1162" s="273">
        <v>93</v>
      </c>
      <c r="R1162" s="283">
        <v>-2.4300000000000002</v>
      </c>
      <c r="S1162" s="268">
        <v>0.26800000000000002</v>
      </c>
    </row>
    <row r="1163" spans="1:37" ht="18" customHeight="1" x14ac:dyDescent="0.35">
      <c r="A1163" s="274">
        <f>MATCH(B1163,STUDIES!$A$3:$A$502,0)</f>
        <v>52</v>
      </c>
      <c r="B1163" s="272" t="s">
        <v>1406</v>
      </c>
      <c r="D1163" s="281" t="s">
        <v>1043</v>
      </c>
      <c r="E1163" s="272" t="s">
        <v>695</v>
      </c>
      <c r="F1163" s="155" t="str">
        <f>_xlfn.XLOOKUP(B1163,STUDIES!$A$3:$A$1063,STUDIES!$G$3:$G$1063,"Not Found!")</f>
        <v>A</v>
      </c>
      <c r="G1163" s="273" t="s">
        <v>152</v>
      </c>
      <c r="H1163" s="273">
        <v>52</v>
      </c>
      <c r="I1163" s="273">
        <v>185</v>
      </c>
      <c r="R1163" s="283">
        <v>-2.16</v>
      </c>
      <c r="S1163" s="268">
        <v>0.19900000000000001</v>
      </c>
    </row>
    <row r="1164" spans="1:37" ht="18" customHeight="1" x14ac:dyDescent="0.35">
      <c r="A1164" s="274">
        <f>MATCH(B1164,STUDIES!$A$3:$A$502,0)</f>
        <v>52</v>
      </c>
      <c r="B1164" s="272" t="s">
        <v>1406</v>
      </c>
      <c r="D1164" s="281" t="s">
        <v>1044</v>
      </c>
      <c r="E1164" s="272" t="s">
        <v>695</v>
      </c>
      <c r="F1164" s="155" t="str">
        <f>_xlfn.XLOOKUP(B1164,STUDIES!$A$3:$A$1063,STUDIES!$G$3:$G$1063,"Not Found!")</f>
        <v>A</v>
      </c>
      <c r="G1164" s="273" t="s">
        <v>152</v>
      </c>
      <c r="H1164" s="273">
        <v>52</v>
      </c>
      <c r="I1164" s="273">
        <v>92</v>
      </c>
      <c r="R1164" s="283">
        <v>-2.78</v>
      </c>
      <c r="S1164" s="268">
        <v>0.26900000000000002</v>
      </c>
    </row>
    <row r="1165" spans="1:37" ht="18" customHeight="1" x14ac:dyDescent="0.35">
      <c r="A1165" s="274">
        <f>MATCH(B1165,STUDIES!$A$3:$A$502,0)</f>
        <v>52</v>
      </c>
      <c r="B1165" s="272" t="s">
        <v>1406</v>
      </c>
      <c r="D1165" s="281" t="s">
        <v>148</v>
      </c>
      <c r="E1165" s="272" t="s">
        <v>153</v>
      </c>
      <c r="F1165" s="155" t="str">
        <f>_xlfn.XLOOKUP(B1165,STUDIES!$A$3:$A$1063,STUDIES!$G$3:$G$1063,"Not Found!")</f>
        <v>A</v>
      </c>
      <c r="G1165" s="273" t="s">
        <v>152</v>
      </c>
      <c r="H1165" s="273">
        <v>52</v>
      </c>
      <c r="I1165" s="273">
        <v>93</v>
      </c>
      <c r="R1165" s="283">
        <v>-4.4000000000000004</v>
      </c>
      <c r="S1165" s="268">
        <v>0.83699999999999997</v>
      </c>
    </row>
    <row r="1166" spans="1:37" ht="18" customHeight="1" x14ac:dyDescent="0.35">
      <c r="A1166" s="274">
        <f>MATCH(B1166,STUDIES!$A$3:$A$502,0)</f>
        <v>52</v>
      </c>
      <c r="B1166" s="272" t="s">
        <v>1406</v>
      </c>
      <c r="D1166" s="281" t="s">
        <v>1042</v>
      </c>
      <c r="E1166" s="272" t="s">
        <v>153</v>
      </c>
      <c r="F1166" s="155" t="str">
        <f>_xlfn.XLOOKUP(B1166,STUDIES!$A$3:$A$1063,STUDIES!$G$3:$G$1063,"Not Found!")</f>
        <v>A</v>
      </c>
      <c r="G1166" s="273" t="s">
        <v>152</v>
      </c>
      <c r="H1166" s="273">
        <v>52</v>
      </c>
      <c r="I1166" s="273">
        <v>93</v>
      </c>
      <c r="R1166" s="283">
        <v>-5.94</v>
      </c>
      <c r="S1166" s="268">
        <v>0.83099999999999996</v>
      </c>
    </row>
    <row r="1167" spans="1:37" ht="18" customHeight="1" x14ac:dyDescent="0.35">
      <c r="A1167" s="274">
        <f>MATCH(B1167,STUDIES!$A$3:$A$502,0)</f>
        <v>52</v>
      </c>
      <c r="B1167" s="272" t="s">
        <v>1406</v>
      </c>
      <c r="D1167" s="281" t="s">
        <v>1043</v>
      </c>
      <c r="E1167" s="272" t="s">
        <v>153</v>
      </c>
      <c r="F1167" s="155" t="str">
        <f>_xlfn.XLOOKUP(B1167,STUDIES!$A$3:$A$1063,STUDIES!$G$3:$G$1063,"Not Found!")</f>
        <v>A</v>
      </c>
      <c r="G1167" s="273" t="s">
        <v>152</v>
      </c>
      <c r="H1167" s="273">
        <v>52</v>
      </c>
      <c r="I1167" s="273">
        <v>185</v>
      </c>
      <c r="R1167" s="283">
        <v>-6.11</v>
      </c>
      <c r="S1167" s="268">
        <v>0.621</v>
      </c>
    </row>
    <row r="1168" spans="1:37" ht="18" customHeight="1" x14ac:dyDescent="0.35">
      <c r="A1168" s="274">
        <f>MATCH(B1168,STUDIES!$A$3:$A$502,0)</f>
        <v>52</v>
      </c>
      <c r="B1168" s="272" t="s">
        <v>1406</v>
      </c>
      <c r="D1168" s="281" t="s">
        <v>1044</v>
      </c>
      <c r="E1168" s="272" t="s">
        <v>153</v>
      </c>
      <c r="F1168" s="155" t="str">
        <f>_xlfn.XLOOKUP(B1168,STUDIES!$A$3:$A$1063,STUDIES!$G$3:$G$1063,"Not Found!")</f>
        <v>A</v>
      </c>
      <c r="G1168" s="273" t="s">
        <v>152</v>
      </c>
      <c r="H1168" s="273">
        <v>52</v>
      </c>
      <c r="I1168" s="273">
        <v>92</v>
      </c>
      <c r="R1168" s="283">
        <v>-7.11</v>
      </c>
      <c r="S1168" s="268">
        <v>0.83399999999999996</v>
      </c>
    </row>
    <row r="1169" spans="1:41" ht="18" customHeight="1" x14ac:dyDescent="0.35">
      <c r="A1169" s="274">
        <f>MATCH(B1169,STUDIES!$A$3:$A$502,0)</f>
        <v>52</v>
      </c>
      <c r="B1169" s="272" t="s">
        <v>1406</v>
      </c>
      <c r="D1169" s="281" t="s">
        <v>148</v>
      </c>
      <c r="E1169" s="272" t="s">
        <v>154</v>
      </c>
      <c r="F1169" s="155" t="str">
        <f>_xlfn.XLOOKUP(B1169,STUDIES!$A$3:$A$1063,STUDIES!$G$3:$G$1063,"Not Found!")</f>
        <v>A</v>
      </c>
      <c r="G1169" s="273" t="s">
        <v>152</v>
      </c>
      <c r="H1169" s="273">
        <v>52</v>
      </c>
      <c r="I1169" s="273">
        <v>93</v>
      </c>
      <c r="R1169" s="283">
        <v>-4.76</v>
      </c>
      <c r="S1169" s="268">
        <v>0.71599999999999997</v>
      </c>
    </row>
    <row r="1170" spans="1:41" ht="18" customHeight="1" x14ac:dyDescent="0.35">
      <c r="A1170" s="274">
        <f>MATCH(B1170,STUDIES!$A$3:$A$502,0)</f>
        <v>52</v>
      </c>
      <c r="B1170" s="272" t="s">
        <v>1406</v>
      </c>
      <c r="D1170" s="281" t="s">
        <v>1042</v>
      </c>
      <c r="E1170" s="272" t="s">
        <v>154</v>
      </c>
      <c r="F1170" s="155" t="str">
        <f>_xlfn.XLOOKUP(B1170,STUDIES!$A$3:$A$1063,STUDIES!$G$3:$G$1063,"Not Found!")</f>
        <v>A</v>
      </c>
      <c r="G1170" s="273" t="s">
        <v>152</v>
      </c>
      <c r="H1170" s="273">
        <v>52</v>
      </c>
      <c r="I1170" s="273">
        <v>93</v>
      </c>
      <c r="R1170" s="283">
        <v>-6.41</v>
      </c>
      <c r="S1170" s="268">
        <v>0.71099999999999997</v>
      </c>
    </row>
    <row r="1171" spans="1:41" ht="18" customHeight="1" x14ac:dyDescent="0.35">
      <c r="A1171" s="274">
        <f>MATCH(B1171,STUDIES!$A$3:$A$502,0)</f>
        <v>52</v>
      </c>
      <c r="B1171" s="272" t="s">
        <v>1406</v>
      </c>
      <c r="D1171" s="281" t="s">
        <v>1043</v>
      </c>
      <c r="E1171" s="272" t="s">
        <v>154</v>
      </c>
      <c r="F1171" s="155" t="str">
        <f>_xlfn.XLOOKUP(B1171,STUDIES!$A$3:$A$1063,STUDIES!$G$3:$G$1063,"Not Found!")</f>
        <v>A</v>
      </c>
      <c r="G1171" s="273" t="s">
        <v>152</v>
      </c>
      <c r="H1171" s="273">
        <v>52</v>
      </c>
      <c r="I1171" s="273">
        <v>185</v>
      </c>
      <c r="R1171" s="283">
        <v>-6.79</v>
      </c>
      <c r="S1171" s="268">
        <v>0.53200000000000003</v>
      </c>
    </row>
    <row r="1172" spans="1:41" ht="18" customHeight="1" x14ac:dyDescent="0.35">
      <c r="A1172" s="274">
        <f>MATCH(B1172,STUDIES!$A$3:$A$502,0)</f>
        <v>52</v>
      </c>
      <c r="B1172" s="272" t="s">
        <v>1406</v>
      </c>
      <c r="D1172" s="281" t="s">
        <v>1044</v>
      </c>
      <c r="E1172" s="272" t="s">
        <v>154</v>
      </c>
      <c r="F1172" s="155" t="str">
        <f>_xlfn.XLOOKUP(B1172,STUDIES!$A$3:$A$1063,STUDIES!$G$3:$G$1063,"Not Found!")</f>
        <v>A</v>
      </c>
      <c r="G1172" s="273" t="s">
        <v>152</v>
      </c>
      <c r="H1172" s="273">
        <v>52</v>
      </c>
      <c r="I1172" s="273">
        <v>92</v>
      </c>
      <c r="R1172" s="283">
        <v>-7.02</v>
      </c>
      <c r="S1172" s="268">
        <v>0.71399999999999997</v>
      </c>
    </row>
    <row r="1173" spans="1:41" ht="18" customHeight="1" x14ac:dyDescent="0.35">
      <c r="A1173" s="274">
        <f>MATCH(B1173,STUDIES!$A$3:$A$502,0)</f>
        <v>59</v>
      </c>
      <c r="B1173" s="272" t="s">
        <v>1203</v>
      </c>
      <c r="D1173" s="281" t="s">
        <v>1099</v>
      </c>
      <c r="E1173" s="272" t="s">
        <v>1243</v>
      </c>
      <c r="F1173" s="155" t="str">
        <f>_xlfn.XLOOKUP(B1173,STUDIES!$A$3:$A$1063,STUDIES!$G$3:$G$1063,"Not Found!")</f>
        <v>A</v>
      </c>
      <c r="G1173" s="273" t="s">
        <v>152</v>
      </c>
      <c r="H1173" s="273">
        <v>52</v>
      </c>
      <c r="I1173" s="273">
        <v>297</v>
      </c>
      <c r="J1173" s="274">
        <f>0.69*I1173</f>
        <v>204.92999999999998</v>
      </c>
    </row>
    <row r="1174" spans="1:41" ht="18" customHeight="1" x14ac:dyDescent="0.35">
      <c r="A1174" s="274">
        <f>MATCH(B1174,STUDIES!$A$3:$A$502,0)</f>
        <v>59</v>
      </c>
      <c r="B1174" s="272" t="s">
        <v>1203</v>
      </c>
      <c r="D1174" s="281" t="s">
        <v>1098</v>
      </c>
      <c r="E1174" s="272" t="s">
        <v>1243</v>
      </c>
      <c r="F1174" s="155" t="str">
        <f>_xlfn.XLOOKUP(B1174,STUDIES!$A$3:$A$1063,STUDIES!$G$3:$G$1063,"Not Found!")</f>
        <v>A</v>
      </c>
      <c r="G1174" s="273" t="s">
        <v>152</v>
      </c>
      <c r="H1174" s="273">
        <v>52</v>
      </c>
      <c r="I1174" s="273">
        <v>300</v>
      </c>
      <c r="J1174" s="274">
        <f>0.508*I1174</f>
        <v>152.4</v>
      </c>
    </row>
    <row r="1175" spans="1:41" ht="18" customHeight="1" x14ac:dyDescent="0.35">
      <c r="A1175" s="274">
        <f>MATCH(B1175,STUDIES!$A$3:$A$502,0)</f>
        <v>59</v>
      </c>
      <c r="B1175" s="272" t="s">
        <v>1203</v>
      </c>
      <c r="D1175" s="281" t="s">
        <v>1099</v>
      </c>
      <c r="E1175" s="272" t="s">
        <v>1268</v>
      </c>
      <c r="F1175" s="155" t="str">
        <f>_xlfn.XLOOKUP(B1175,STUDIES!$A$3:$A$1063,STUDIES!$G$3:$G$1063,"Not Found!")</f>
        <v>A</v>
      </c>
      <c r="G1175" s="273" t="s">
        <v>152</v>
      </c>
      <c r="H1175" s="273">
        <v>52</v>
      </c>
      <c r="I1175" s="273">
        <v>297</v>
      </c>
      <c r="J1175" s="274">
        <f>0.452*I1175</f>
        <v>134.244</v>
      </c>
    </row>
    <row r="1176" spans="1:41" ht="18" customHeight="1" x14ac:dyDescent="0.35">
      <c r="A1176" s="274">
        <f>MATCH(B1176,STUDIES!$A$3:$A$502,0)</f>
        <v>59</v>
      </c>
      <c r="B1176" s="272" t="s">
        <v>1203</v>
      </c>
      <c r="D1176" s="281" t="s">
        <v>1098</v>
      </c>
      <c r="E1176" s="272" t="s">
        <v>1268</v>
      </c>
      <c r="F1176" s="155" t="str">
        <f>_xlfn.XLOOKUP(B1176,STUDIES!$A$3:$A$1063,STUDIES!$G$3:$G$1063,"Not Found!")</f>
        <v>A</v>
      </c>
      <c r="G1176" s="273" t="s">
        <v>152</v>
      </c>
      <c r="H1176" s="273">
        <v>52</v>
      </c>
      <c r="I1176" s="273">
        <v>300</v>
      </c>
      <c r="J1176" s="274">
        <f>0.335*I1176</f>
        <v>100.5</v>
      </c>
    </row>
    <row r="1177" spans="1:41" ht="18" customHeight="1" x14ac:dyDescent="0.35">
      <c r="A1177" s="274">
        <f>MATCH(B1177,STUDIES!$A$3:$A$502,0)</f>
        <v>59</v>
      </c>
      <c r="B1177" s="272" t="s">
        <v>1203</v>
      </c>
      <c r="D1177" s="281" t="s">
        <v>1099</v>
      </c>
      <c r="E1177" s="272" t="s">
        <v>1244</v>
      </c>
      <c r="F1177" s="155" t="str">
        <f>_xlfn.XLOOKUP(B1177,STUDIES!$A$3:$A$1063,STUDIES!$G$3:$G$1063,"Not Found!")</f>
        <v>A</v>
      </c>
      <c r="G1177" s="273" t="s">
        <v>152</v>
      </c>
      <c r="H1177" s="273">
        <v>52</v>
      </c>
      <c r="I1177" s="273">
        <v>297</v>
      </c>
      <c r="J1177" s="274">
        <f>0.554*I1177</f>
        <v>164.53800000000001</v>
      </c>
    </row>
    <row r="1178" spans="1:41" ht="18" customHeight="1" x14ac:dyDescent="0.35">
      <c r="A1178" s="274">
        <f>MATCH(B1178,STUDIES!$A$3:$A$502,0)</f>
        <v>59</v>
      </c>
      <c r="B1178" s="272" t="s">
        <v>1203</v>
      </c>
      <c r="D1178" s="281" t="s">
        <v>1098</v>
      </c>
      <c r="E1178" s="272" t="s">
        <v>1244</v>
      </c>
      <c r="F1178" s="155" t="str">
        <f>_xlfn.XLOOKUP(B1178,STUDIES!$A$3:$A$1063,STUDIES!$G$3:$G$1063,"Not Found!")</f>
        <v>A</v>
      </c>
      <c r="G1178" s="273" t="s">
        <v>152</v>
      </c>
      <c r="H1178" s="273">
        <v>52</v>
      </c>
      <c r="I1178" s="273">
        <v>300</v>
      </c>
      <c r="J1178" s="274">
        <f>0.377*I1178</f>
        <v>113.1</v>
      </c>
    </row>
    <row r="1179" spans="1:41" ht="18" customHeight="1" x14ac:dyDescent="0.35">
      <c r="A1179" s="274">
        <f>MATCH(B1179,STUDIES!$A$3:$A$502,0)</f>
        <v>59</v>
      </c>
      <c r="B1179" s="272" t="s">
        <v>1203</v>
      </c>
      <c r="D1179" s="281" t="s">
        <v>1099</v>
      </c>
      <c r="E1179" s="272" t="s">
        <v>151</v>
      </c>
      <c r="F1179" s="155" t="str">
        <f>_xlfn.XLOOKUP(B1179,STUDIES!$A$3:$A$1063,STUDIES!$G$3:$G$1063,"Not Found!")</f>
        <v>A</v>
      </c>
      <c r="G1179" s="273" t="s">
        <v>152</v>
      </c>
      <c r="H1179" s="273">
        <v>52</v>
      </c>
      <c r="I1179" s="273">
        <v>234</v>
      </c>
      <c r="K1179" s="268">
        <v>29.7</v>
      </c>
      <c r="M1179" s="268">
        <v>11.8</v>
      </c>
      <c r="AJ1179" s="276">
        <v>-77.400000000000006</v>
      </c>
      <c r="AM1179" s="268">
        <v>-80.8</v>
      </c>
      <c r="AN1179" s="268">
        <v>-74</v>
      </c>
      <c r="AO1179" s="275">
        <v>0.95</v>
      </c>
    </row>
    <row r="1180" spans="1:41" ht="18" customHeight="1" x14ac:dyDescent="0.35">
      <c r="A1180" s="274">
        <f>MATCH(B1180,STUDIES!$A$3:$A$502,0)</f>
        <v>59</v>
      </c>
      <c r="B1180" s="272" t="s">
        <v>1203</v>
      </c>
      <c r="D1180" s="281" t="s">
        <v>1098</v>
      </c>
      <c r="E1180" s="272" t="s">
        <v>151</v>
      </c>
      <c r="F1180" s="155" t="str">
        <f>_xlfn.XLOOKUP(B1180,STUDIES!$A$3:$A$1063,STUDIES!$G$3:$G$1063,"Not Found!")</f>
        <v>A</v>
      </c>
      <c r="G1180" s="273" t="s">
        <v>152</v>
      </c>
      <c r="H1180" s="273">
        <v>52</v>
      </c>
      <c r="I1180" s="273">
        <v>209</v>
      </c>
      <c r="K1180" s="268">
        <v>29.2</v>
      </c>
      <c r="M1180" s="268">
        <v>11.8</v>
      </c>
      <c r="AJ1180" s="276">
        <v>-67.7</v>
      </c>
      <c r="AM1180" s="268">
        <v>-71</v>
      </c>
      <c r="AN1180" s="268">
        <v>-64.3</v>
      </c>
      <c r="AO1180" s="275">
        <v>0.95</v>
      </c>
    </row>
    <row r="1181" spans="1:41" ht="18" customHeight="1" x14ac:dyDescent="0.35">
      <c r="A1181" s="274">
        <f>MATCH(B1181,STUDIES!$A$3:$A$502,0)</f>
        <v>59</v>
      </c>
      <c r="B1181" s="272" t="s">
        <v>1203</v>
      </c>
      <c r="D1181" s="281" t="s">
        <v>1099</v>
      </c>
      <c r="E1181" s="272" t="s">
        <v>695</v>
      </c>
      <c r="F1181" s="155" t="str">
        <f>_xlfn.XLOOKUP(B1181,STUDIES!$A$3:$A$1063,STUDIES!$G$3:$G$1063,"Not Found!")</f>
        <v>A</v>
      </c>
      <c r="G1181" s="273" t="s">
        <v>152</v>
      </c>
      <c r="H1181" s="273">
        <v>52</v>
      </c>
      <c r="I1181" s="273">
        <v>227</v>
      </c>
      <c r="K1181" s="268">
        <v>7.1</v>
      </c>
      <c r="M1181" s="268">
        <v>1.8</v>
      </c>
      <c r="AJ1181" s="276">
        <v>-54.5</v>
      </c>
      <c r="AM1181" s="268">
        <v>-61.1</v>
      </c>
      <c r="AN1181" s="268">
        <v>-48</v>
      </c>
    </row>
    <row r="1182" spans="1:41" ht="18" customHeight="1" x14ac:dyDescent="0.35">
      <c r="A1182" s="274">
        <f>MATCH(B1182,STUDIES!$A$3:$A$502,0)</f>
        <v>59</v>
      </c>
      <c r="B1182" s="272" t="s">
        <v>1203</v>
      </c>
      <c r="D1182" s="281" t="s">
        <v>1098</v>
      </c>
      <c r="E1182" s="272" t="s">
        <v>695</v>
      </c>
      <c r="F1182" s="155" t="str">
        <f>_xlfn.XLOOKUP(B1182,STUDIES!$A$3:$A$1063,STUDIES!$G$3:$G$1063,"Not Found!")</f>
        <v>A</v>
      </c>
      <c r="G1182" s="273" t="s">
        <v>152</v>
      </c>
      <c r="H1182" s="273">
        <v>52</v>
      </c>
      <c r="I1182" s="273">
        <v>208</v>
      </c>
      <c r="K1182" s="268">
        <v>7.4</v>
      </c>
      <c r="M1182" s="268">
        <v>1.6</v>
      </c>
      <c r="AJ1182" s="276">
        <v>-39</v>
      </c>
      <c r="AM1182" s="268">
        <v>-45.6</v>
      </c>
      <c r="AN1182" s="268">
        <v>-32.5</v>
      </c>
    </row>
    <row r="1183" spans="1:41" ht="18" customHeight="1" x14ac:dyDescent="0.35">
      <c r="A1183" s="274">
        <f>MATCH(B1183,STUDIES!$A$3:$A$502,0)</f>
        <v>1</v>
      </c>
      <c r="B1183" s="86" t="s">
        <v>408</v>
      </c>
      <c r="C1183" s="466"/>
      <c r="D1183" s="281" t="s">
        <v>1051</v>
      </c>
      <c r="E1183" s="272" t="s">
        <v>1258</v>
      </c>
      <c r="F1183" s="155" t="str">
        <f>_xlfn.XLOOKUP(B1183,STUDIES!$A$3:$A$1063,STUDIES!$G$3:$G$1063,"Not Found!")</f>
        <v>A</v>
      </c>
      <c r="G1183" s="273" t="s">
        <v>147</v>
      </c>
      <c r="H1183" s="273">
        <v>12</v>
      </c>
      <c r="I1183" s="273">
        <v>55</v>
      </c>
      <c r="J1183" s="274">
        <v>47</v>
      </c>
    </row>
    <row r="1184" spans="1:41" ht="18" customHeight="1" x14ac:dyDescent="0.35">
      <c r="A1184" s="274">
        <f>MATCH(B1184,STUDIES!$A$3:$A$502,0)</f>
        <v>1</v>
      </c>
      <c r="B1184" s="86" t="s">
        <v>408</v>
      </c>
      <c r="C1184" s="466"/>
      <c r="D1184" s="281" t="s">
        <v>148</v>
      </c>
      <c r="E1184" s="272" t="s">
        <v>1258</v>
      </c>
      <c r="F1184" s="155" t="str">
        <f>_xlfn.XLOOKUP(B1184,STUDIES!$A$3:$A$1063,STUDIES!$G$3:$G$1063,"Not Found!")</f>
        <v>A</v>
      </c>
      <c r="G1184" s="273" t="s">
        <v>147</v>
      </c>
      <c r="H1184" s="273">
        <v>12</v>
      </c>
      <c r="I1184" s="273">
        <v>54</v>
      </c>
      <c r="J1184" s="274">
        <v>19</v>
      </c>
    </row>
    <row r="1185" spans="1:10" ht="18" customHeight="1" x14ac:dyDescent="0.35">
      <c r="A1185" s="274">
        <f>MATCH(B1185,STUDIES!$A$3:$A$502,0)</f>
        <v>1</v>
      </c>
      <c r="B1185" s="86" t="s">
        <v>408</v>
      </c>
      <c r="C1185" s="466"/>
      <c r="D1185" s="281" t="s">
        <v>1051</v>
      </c>
      <c r="E1185" s="272" t="s">
        <v>1243</v>
      </c>
      <c r="F1185" s="155" t="str">
        <f>_xlfn.XLOOKUP(B1185,STUDIES!$A$3:$A$1063,STUDIES!$G$3:$G$1063,"Not Found!")</f>
        <v>A</v>
      </c>
      <c r="G1185" s="273" t="s">
        <v>147</v>
      </c>
      <c r="H1185" s="273">
        <v>12</v>
      </c>
      <c r="I1185" s="273">
        <v>55</v>
      </c>
      <c r="J1185" s="274">
        <v>34</v>
      </c>
    </row>
    <row r="1186" spans="1:10" ht="18" customHeight="1" x14ac:dyDescent="0.35">
      <c r="A1186" s="274">
        <f>MATCH(B1186,STUDIES!$A$3:$A$502,0)</f>
        <v>1</v>
      </c>
      <c r="B1186" s="86" t="s">
        <v>408</v>
      </c>
      <c r="C1186" s="466"/>
      <c r="D1186" s="281" t="s">
        <v>148</v>
      </c>
      <c r="E1186" s="272" t="s">
        <v>1243</v>
      </c>
      <c r="F1186" s="155" t="str">
        <f>_xlfn.XLOOKUP(B1186,STUDIES!$A$3:$A$1063,STUDIES!$G$3:$G$1063,"Not Found!")</f>
        <v>A</v>
      </c>
      <c r="G1186" s="273" t="s">
        <v>147</v>
      </c>
      <c r="H1186" s="273">
        <v>12</v>
      </c>
      <c r="I1186" s="273">
        <v>54</v>
      </c>
      <c r="J1186" s="274">
        <v>8</v>
      </c>
    </row>
    <row r="1187" spans="1:10" ht="18" customHeight="1" x14ac:dyDescent="0.35">
      <c r="A1187" s="274">
        <f>MATCH(B1187,STUDIES!$A$3:$A$502,0)</f>
        <v>1</v>
      </c>
      <c r="B1187" s="86" t="s">
        <v>408</v>
      </c>
      <c r="C1187" s="466"/>
      <c r="D1187" s="281" t="s">
        <v>1051</v>
      </c>
      <c r="E1187" s="272" t="s">
        <v>1268</v>
      </c>
      <c r="F1187" s="155" t="str">
        <f>_xlfn.XLOOKUP(B1187,STUDIES!$A$3:$A$1063,STUDIES!$G$3:$G$1063,"Not Found!")</f>
        <v>A</v>
      </c>
      <c r="G1187" s="273" t="s">
        <v>147</v>
      </c>
      <c r="H1187" s="273">
        <v>12</v>
      </c>
      <c r="I1187" s="273">
        <v>55</v>
      </c>
      <c r="J1187" s="274">
        <v>22</v>
      </c>
    </row>
    <row r="1188" spans="1:10" ht="18" customHeight="1" x14ac:dyDescent="0.35">
      <c r="A1188" s="274">
        <f>MATCH(B1188,STUDIES!$A$3:$A$502,0)</f>
        <v>1</v>
      </c>
      <c r="B1188" s="86" t="s">
        <v>408</v>
      </c>
      <c r="C1188" s="466"/>
      <c r="D1188" s="281" t="s">
        <v>148</v>
      </c>
      <c r="E1188" s="272" t="s">
        <v>1268</v>
      </c>
      <c r="F1188" s="155" t="str">
        <f>_xlfn.XLOOKUP(B1188,STUDIES!$A$3:$A$1063,STUDIES!$G$3:$G$1063,"Not Found!")</f>
        <v>A</v>
      </c>
      <c r="G1188" s="273" t="s">
        <v>147</v>
      </c>
      <c r="H1188" s="273">
        <v>12</v>
      </c>
      <c r="I1188" s="273">
        <v>54</v>
      </c>
      <c r="J1188" s="274">
        <v>4</v>
      </c>
    </row>
    <row r="1189" spans="1:10" ht="18" customHeight="1" x14ac:dyDescent="0.35">
      <c r="A1189" s="274">
        <f>MATCH(B1189,STUDIES!$A$3:$A$502,0)</f>
        <v>4</v>
      </c>
      <c r="B1189" s="272" t="s">
        <v>357</v>
      </c>
      <c r="D1189" s="281" t="s">
        <v>1056</v>
      </c>
      <c r="E1189" s="272" t="s">
        <v>1258</v>
      </c>
      <c r="F1189" s="155" t="str">
        <f>_xlfn.XLOOKUP(B1189,STUDIES!$A$3:$A$1063,STUDIES!$G$3:$G$1063,"Not Found!")</f>
        <v>A</v>
      </c>
      <c r="G1189" s="273" t="s">
        <v>152</v>
      </c>
      <c r="H1189" s="273">
        <v>52</v>
      </c>
      <c r="I1189" s="273">
        <v>89</v>
      </c>
      <c r="J1189" s="274">
        <v>70</v>
      </c>
    </row>
    <row r="1190" spans="1:10" ht="18" customHeight="1" x14ac:dyDescent="0.35">
      <c r="A1190" s="274">
        <f>MATCH(B1190,STUDIES!$A$3:$A$502,0)</f>
        <v>4</v>
      </c>
      <c r="B1190" s="272" t="s">
        <v>357</v>
      </c>
      <c r="D1190" s="281" t="s">
        <v>1059</v>
      </c>
      <c r="E1190" s="272" t="s">
        <v>1258</v>
      </c>
      <c r="F1190" s="155" t="str">
        <f>_xlfn.XLOOKUP(B1190,STUDIES!$A$3:$A$1063,STUDIES!$G$3:$G$1063,"Not Found!")</f>
        <v>A</v>
      </c>
      <c r="G1190" s="273" t="s">
        <v>152</v>
      </c>
      <c r="H1190" s="273">
        <v>52</v>
      </c>
      <c r="I1190" s="273">
        <v>270</v>
      </c>
      <c r="J1190" s="274">
        <v>189</v>
      </c>
    </row>
    <row r="1191" spans="1:10" ht="18" customHeight="1" x14ac:dyDescent="0.35">
      <c r="A1191" s="274">
        <f>MATCH(B1191,STUDIES!$A$3:$A$502,0)</f>
        <v>4</v>
      </c>
      <c r="B1191" s="272" t="s">
        <v>357</v>
      </c>
      <c r="D1191" s="281" t="s">
        <v>148</v>
      </c>
      <c r="E1191" s="272" t="s">
        <v>1258</v>
      </c>
      <c r="F1191" s="155" t="str">
        <f>_xlfn.XLOOKUP(B1191,STUDIES!$A$3:$A$1063,STUDIES!$G$3:$G$1063,"Not Found!")</f>
        <v>A</v>
      </c>
      <c r="G1191" s="273" t="s">
        <v>152</v>
      </c>
      <c r="H1191" s="273">
        <v>52</v>
      </c>
      <c r="I1191" s="273">
        <v>264</v>
      </c>
      <c r="J1191" s="274">
        <v>79</v>
      </c>
    </row>
    <row r="1192" spans="1:10" ht="18" customHeight="1" x14ac:dyDescent="0.35">
      <c r="A1192" s="274">
        <f>MATCH(B1192,STUDIES!$A$3:$A$502,0)</f>
        <v>4</v>
      </c>
      <c r="B1192" s="272" t="s">
        <v>357</v>
      </c>
      <c r="D1192" s="281" t="s">
        <v>1056</v>
      </c>
      <c r="E1192" s="272" t="s">
        <v>1258</v>
      </c>
      <c r="F1192" s="155" t="str">
        <f>_xlfn.XLOOKUP(B1192,STUDIES!$A$3:$A$1063,STUDIES!$G$3:$G$1063,"Not Found!")</f>
        <v>A</v>
      </c>
      <c r="G1192" s="273" t="s">
        <v>147</v>
      </c>
      <c r="H1192" s="273">
        <v>16</v>
      </c>
      <c r="I1192" s="273">
        <v>106</v>
      </c>
      <c r="J1192" s="274">
        <v>85</v>
      </c>
    </row>
    <row r="1193" spans="1:10" ht="18" customHeight="1" x14ac:dyDescent="0.35">
      <c r="A1193" s="274">
        <f>MATCH(B1193,STUDIES!$A$3:$A$502,0)</f>
        <v>4</v>
      </c>
      <c r="B1193" s="272" t="s">
        <v>357</v>
      </c>
      <c r="D1193" s="281" t="s">
        <v>1059</v>
      </c>
      <c r="E1193" s="272" t="s">
        <v>1258</v>
      </c>
      <c r="F1193" s="155" t="str">
        <f>_xlfn.XLOOKUP(B1193,STUDIES!$A$3:$A$1063,STUDIES!$G$3:$G$1063,"Not Found!")</f>
        <v>A</v>
      </c>
      <c r="G1193" s="273" t="s">
        <v>147</v>
      </c>
      <c r="H1193" s="273">
        <v>16</v>
      </c>
      <c r="I1193" s="273">
        <v>319</v>
      </c>
      <c r="J1193" s="274">
        <v>249</v>
      </c>
    </row>
    <row r="1194" spans="1:10" ht="18" customHeight="1" x14ac:dyDescent="0.35">
      <c r="A1194" s="274">
        <f>MATCH(B1194,STUDIES!$A$3:$A$502,0)</f>
        <v>4</v>
      </c>
      <c r="B1194" s="272" t="s">
        <v>357</v>
      </c>
      <c r="D1194" s="281" t="s">
        <v>148</v>
      </c>
      <c r="E1194" s="272" t="s">
        <v>1258</v>
      </c>
      <c r="F1194" s="155" t="str">
        <f>_xlfn.XLOOKUP(B1194,STUDIES!$A$3:$A$1063,STUDIES!$G$3:$G$1063,"Not Found!")</f>
        <v>A</v>
      </c>
      <c r="G1194" s="273" t="s">
        <v>147</v>
      </c>
      <c r="H1194" s="273">
        <v>16</v>
      </c>
      <c r="I1194" s="273">
        <v>315</v>
      </c>
      <c r="J1194" s="274">
        <v>118</v>
      </c>
    </row>
    <row r="1195" spans="1:10" ht="18" customHeight="1" x14ac:dyDescent="0.35">
      <c r="A1195" s="274">
        <f>MATCH(B1195,STUDIES!$A$3:$A$502,0)</f>
        <v>4</v>
      </c>
      <c r="B1195" s="272" t="s">
        <v>357</v>
      </c>
      <c r="D1195" s="281" t="s">
        <v>1056</v>
      </c>
      <c r="E1195" s="272" t="s">
        <v>1243</v>
      </c>
      <c r="F1195" s="155" t="str">
        <f>_xlfn.XLOOKUP(B1195,STUDIES!$A$3:$A$1063,STUDIES!$G$3:$G$1063,"Not Found!")</f>
        <v>A</v>
      </c>
      <c r="G1195" s="273" t="s">
        <v>152</v>
      </c>
      <c r="H1195" s="273">
        <v>52</v>
      </c>
      <c r="I1195" s="273">
        <v>89</v>
      </c>
      <c r="J1195" s="274">
        <v>58</v>
      </c>
    </row>
    <row r="1196" spans="1:10" ht="18" customHeight="1" x14ac:dyDescent="0.35">
      <c r="A1196" s="274">
        <f>MATCH(B1196,STUDIES!$A$3:$A$502,0)</f>
        <v>4</v>
      </c>
      <c r="B1196" s="272" t="s">
        <v>357</v>
      </c>
      <c r="D1196" s="281" t="s">
        <v>1059</v>
      </c>
      <c r="E1196" s="272" t="s">
        <v>1243</v>
      </c>
      <c r="F1196" s="155" t="str">
        <f>_xlfn.XLOOKUP(B1196,STUDIES!$A$3:$A$1063,STUDIES!$G$3:$G$1063,"Not Found!")</f>
        <v>A</v>
      </c>
      <c r="G1196" s="273" t="s">
        <v>152</v>
      </c>
      <c r="H1196" s="273">
        <v>52</v>
      </c>
      <c r="I1196" s="273">
        <v>270</v>
      </c>
      <c r="J1196" s="274">
        <v>173</v>
      </c>
    </row>
    <row r="1197" spans="1:10" ht="18" customHeight="1" x14ac:dyDescent="0.35">
      <c r="A1197" s="274">
        <f>MATCH(B1197,STUDIES!$A$3:$A$502,0)</f>
        <v>4</v>
      </c>
      <c r="B1197" s="272" t="s">
        <v>357</v>
      </c>
      <c r="D1197" s="281" t="s">
        <v>148</v>
      </c>
      <c r="E1197" s="272" t="s">
        <v>1243</v>
      </c>
      <c r="F1197" s="155" t="str">
        <f>_xlfn.XLOOKUP(B1197,STUDIES!$A$3:$A$1063,STUDIES!$G$3:$G$1063,"Not Found!")</f>
        <v>A</v>
      </c>
      <c r="G1197" s="273" t="s">
        <v>152</v>
      </c>
      <c r="H1197" s="273">
        <v>52</v>
      </c>
      <c r="I1197" s="273">
        <v>264</v>
      </c>
      <c r="J1197" s="274">
        <v>57</v>
      </c>
    </row>
    <row r="1198" spans="1:10" ht="18" customHeight="1" x14ac:dyDescent="0.35">
      <c r="A1198" s="274">
        <f>MATCH(B1198,STUDIES!$A$3:$A$502,0)</f>
        <v>4</v>
      </c>
      <c r="B1198" s="272" t="s">
        <v>357</v>
      </c>
      <c r="D1198" s="281" t="s">
        <v>1056</v>
      </c>
      <c r="E1198" s="272" t="s">
        <v>1243</v>
      </c>
      <c r="F1198" s="155" t="str">
        <f>_xlfn.XLOOKUP(B1198,STUDIES!$A$3:$A$1063,STUDIES!$G$3:$G$1063,"Not Found!")</f>
        <v>A</v>
      </c>
      <c r="G1198" s="273" t="s">
        <v>147</v>
      </c>
      <c r="H1198" s="273">
        <v>16</v>
      </c>
      <c r="I1198" s="273">
        <v>106</v>
      </c>
      <c r="J1198" s="274">
        <v>73</v>
      </c>
    </row>
    <row r="1199" spans="1:10" ht="18" customHeight="1" x14ac:dyDescent="0.35">
      <c r="A1199" s="274">
        <f>MATCH(B1199,STUDIES!$A$3:$A$502,0)</f>
        <v>4</v>
      </c>
      <c r="B1199" s="272" t="s">
        <v>357</v>
      </c>
      <c r="D1199" s="281" t="s">
        <v>1059</v>
      </c>
      <c r="E1199" s="272" t="s">
        <v>1243</v>
      </c>
      <c r="F1199" s="155" t="str">
        <f>_xlfn.XLOOKUP(B1199,STUDIES!$A$3:$A$1063,STUDIES!$G$3:$G$1063,"Not Found!")</f>
        <v>A</v>
      </c>
      <c r="G1199" s="273" t="s">
        <v>147</v>
      </c>
      <c r="H1199" s="273">
        <v>16</v>
      </c>
      <c r="I1199" s="273">
        <v>319</v>
      </c>
      <c r="J1199" s="274">
        <v>204</v>
      </c>
    </row>
    <row r="1200" spans="1:10" ht="18" customHeight="1" x14ac:dyDescent="0.35">
      <c r="A1200" s="274">
        <f>MATCH(B1200,STUDIES!$A$3:$A$502,0)</f>
        <v>4</v>
      </c>
      <c r="B1200" s="272" t="s">
        <v>357</v>
      </c>
      <c r="D1200" s="281" t="s">
        <v>148</v>
      </c>
      <c r="E1200" s="272" t="s">
        <v>1243</v>
      </c>
      <c r="F1200" s="155" t="str">
        <f>_xlfn.XLOOKUP(B1200,STUDIES!$A$3:$A$1063,STUDIES!$G$3:$G$1063,"Not Found!")</f>
        <v>A</v>
      </c>
      <c r="G1200" s="273" t="s">
        <v>147</v>
      </c>
      <c r="H1200" s="273">
        <v>16</v>
      </c>
      <c r="I1200" s="273">
        <v>315</v>
      </c>
      <c r="J1200" s="274">
        <v>73</v>
      </c>
    </row>
    <row r="1201" spans="1:10" ht="18" customHeight="1" x14ac:dyDescent="0.35">
      <c r="A1201" s="274">
        <f>MATCH(B1201,STUDIES!$A$3:$A$502,0)</f>
        <v>4</v>
      </c>
      <c r="B1201" s="272" t="s">
        <v>357</v>
      </c>
      <c r="D1201" s="281" t="s">
        <v>1056</v>
      </c>
      <c r="E1201" s="272" t="s">
        <v>1244</v>
      </c>
      <c r="F1201" s="155" t="str">
        <f>_xlfn.XLOOKUP(B1201,STUDIES!$A$3:$A$1063,STUDIES!$G$3:$G$1063,"Not Found!")</f>
        <v>A</v>
      </c>
      <c r="G1201" s="273" t="s">
        <v>152</v>
      </c>
      <c r="H1201" s="273">
        <v>52</v>
      </c>
      <c r="I1201" s="273">
        <v>89</v>
      </c>
      <c r="J1201" s="274">
        <v>45</v>
      </c>
    </row>
    <row r="1202" spans="1:10" ht="18" customHeight="1" x14ac:dyDescent="0.35">
      <c r="A1202" s="274">
        <f>MATCH(B1202,STUDIES!$A$3:$A$502,0)</f>
        <v>4</v>
      </c>
      <c r="B1202" s="272" t="s">
        <v>357</v>
      </c>
      <c r="D1202" s="281" t="s">
        <v>1059</v>
      </c>
      <c r="E1202" s="272" t="s">
        <v>1244</v>
      </c>
      <c r="F1202" s="155" t="str">
        <f>_xlfn.XLOOKUP(B1202,STUDIES!$A$3:$A$1063,STUDIES!$G$3:$G$1063,"Not Found!")</f>
        <v>A</v>
      </c>
      <c r="G1202" s="273" t="s">
        <v>152</v>
      </c>
      <c r="H1202" s="273">
        <v>52</v>
      </c>
      <c r="I1202" s="273">
        <v>270</v>
      </c>
      <c r="J1202" s="274">
        <v>137</v>
      </c>
    </row>
    <row r="1203" spans="1:10" ht="18" customHeight="1" x14ac:dyDescent="0.35">
      <c r="A1203" s="274">
        <f>MATCH(B1203,STUDIES!$A$3:$A$502,0)</f>
        <v>4</v>
      </c>
      <c r="B1203" s="272" t="s">
        <v>357</v>
      </c>
      <c r="D1203" s="281" t="s">
        <v>148</v>
      </c>
      <c r="E1203" s="272" t="s">
        <v>1244</v>
      </c>
      <c r="F1203" s="155" t="str">
        <f>_xlfn.XLOOKUP(B1203,STUDIES!$A$3:$A$1063,STUDIES!$G$3:$G$1063,"Not Found!")</f>
        <v>A</v>
      </c>
      <c r="G1203" s="273" t="s">
        <v>152</v>
      </c>
      <c r="H1203" s="273">
        <v>52</v>
      </c>
      <c r="I1203" s="273">
        <v>264</v>
      </c>
      <c r="J1203" s="274">
        <v>41</v>
      </c>
    </row>
    <row r="1204" spans="1:10" ht="18" customHeight="1" x14ac:dyDescent="0.35">
      <c r="A1204" s="274">
        <f>MATCH(B1204,STUDIES!$A$3:$A$502,0)</f>
        <v>4</v>
      </c>
      <c r="B1204" s="272" t="s">
        <v>357</v>
      </c>
      <c r="D1204" s="281" t="s">
        <v>1056</v>
      </c>
      <c r="E1204" s="272" t="s">
        <v>1244</v>
      </c>
      <c r="F1204" s="155" t="str">
        <f>_xlfn.XLOOKUP(B1204,STUDIES!$A$3:$A$1063,STUDIES!$G$3:$G$1063,"Not Found!")</f>
        <v>A</v>
      </c>
      <c r="G1204" s="273" t="s">
        <v>147</v>
      </c>
      <c r="H1204" s="273">
        <v>16</v>
      </c>
      <c r="I1204" s="273">
        <v>106</v>
      </c>
      <c r="J1204" s="274">
        <v>42</v>
      </c>
    </row>
    <row r="1205" spans="1:10" ht="18" customHeight="1" x14ac:dyDescent="0.35">
      <c r="A1205" s="274">
        <f>MATCH(B1205,STUDIES!$A$3:$A$502,0)</f>
        <v>4</v>
      </c>
      <c r="B1205" s="272" t="s">
        <v>357</v>
      </c>
      <c r="D1205" s="281" t="s">
        <v>1059</v>
      </c>
      <c r="E1205" s="272" t="s">
        <v>1244</v>
      </c>
      <c r="F1205" s="155" t="str">
        <f>_xlfn.XLOOKUP(B1205,STUDIES!$A$3:$A$1063,STUDIES!$G$3:$G$1063,"Not Found!")</f>
        <v>A</v>
      </c>
      <c r="G1205" s="273" t="s">
        <v>147</v>
      </c>
      <c r="H1205" s="273">
        <v>16</v>
      </c>
      <c r="I1205" s="273">
        <v>319</v>
      </c>
      <c r="J1205" s="274">
        <v>138</v>
      </c>
    </row>
    <row r="1206" spans="1:10" ht="18" customHeight="1" x14ac:dyDescent="0.35">
      <c r="A1206" s="274">
        <f>MATCH(B1206,STUDIES!$A$3:$A$502,0)</f>
        <v>4</v>
      </c>
      <c r="B1206" s="272" t="s">
        <v>357</v>
      </c>
      <c r="D1206" s="281" t="s">
        <v>148</v>
      </c>
      <c r="E1206" s="272" t="s">
        <v>1244</v>
      </c>
      <c r="F1206" s="155" t="str">
        <f>_xlfn.XLOOKUP(B1206,STUDIES!$A$3:$A$1063,STUDIES!$G$3:$G$1063,"Not Found!")</f>
        <v>A</v>
      </c>
      <c r="G1206" s="273" t="s">
        <v>147</v>
      </c>
      <c r="H1206" s="273">
        <v>16</v>
      </c>
      <c r="I1206" s="273">
        <v>315</v>
      </c>
      <c r="J1206" s="274">
        <v>35</v>
      </c>
    </row>
    <row r="1207" spans="1:10" ht="18" customHeight="1" x14ac:dyDescent="0.35">
      <c r="A1207" s="274">
        <f>MATCH(B1207,STUDIES!$A$3:$A$502,0)</f>
        <v>4</v>
      </c>
      <c r="B1207" s="272" t="s">
        <v>357</v>
      </c>
      <c r="D1207" s="281" t="s">
        <v>1056</v>
      </c>
      <c r="E1207" s="272" t="s">
        <v>1268</v>
      </c>
      <c r="F1207" s="155" t="str">
        <f>_xlfn.XLOOKUP(B1207,STUDIES!$A$3:$A$1063,STUDIES!$G$3:$G$1063,"Not Found!")</f>
        <v>A</v>
      </c>
      <c r="G1207" s="273" t="s">
        <v>152</v>
      </c>
      <c r="H1207" s="273">
        <v>52</v>
      </c>
      <c r="I1207" s="273">
        <v>89</v>
      </c>
      <c r="J1207" s="274">
        <v>32</v>
      </c>
    </row>
    <row r="1208" spans="1:10" ht="18" customHeight="1" x14ac:dyDescent="0.35">
      <c r="A1208" s="274">
        <f>MATCH(B1208,STUDIES!$A$3:$A$502,0)</f>
        <v>4</v>
      </c>
      <c r="B1208" s="272" t="s">
        <v>357</v>
      </c>
      <c r="D1208" s="281" t="s">
        <v>1059</v>
      </c>
      <c r="E1208" s="272" t="s">
        <v>1268</v>
      </c>
      <c r="F1208" s="155" t="str">
        <f>_xlfn.XLOOKUP(B1208,STUDIES!$A$3:$A$1063,STUDIES!$G$3:$G$1063,"Not Found!")</f>
        <v>A</v>
      </c>
      <c r="G1208" s="273" t="s">
        <v>152</v>
      </c>
      <c r="H1208" s="273">
        <v>52</v>
      </c>
      <c r="I1208" s="273">
        <v>270</v>
      </c>
      <c r="J1208" s="274">
        <v>108</v>
      </c>
    </row>
    <row r="1209" spans="1:10" ht="18" customHeight="1" x14ac:dyDescent="0.35">
      <c r="A1209" s="274">
        <f>MATCH(B1209,STUDIES!$A$3:$A$502,0)</f>
        <v>4</v>
      </c>
      <c r="B1209" s="272" t="s">
        <v>357</v>
      </c>
      <c r="D1209" s="281" t="s">
        <v>148</v>
      </c>
      <c r="E1209" s="272" t="s">
        <v>1268</v>
      </c>
      <c r="F1209" s="155" t="str">
        <f>_xlfn.XLOOKUP(B1209,STUDIES!$A$3:$A$1063,STUDIES!$G$3:$G$1063,"Not Found!")</f>
        <v>A</v>
      </c>
      <c r="G1209" s="273" t="s">
        <v>152</v>
      </c>
      <c r="H1209" s="273">
        <v>52</v>
      </c>
      <c r="I1209" s="273">
        <v>264</v>
      </c>
      <c r="J1209" s="274">
        <v>33</v>
      </c>
    </row>
    <row r="1210" spans="1:10" ht="18" customHeight="1" x14ac:dyDescent="0.35">
      <c r="A1210" s="274">
        <f>MATCH(B1210,STUDIES!$A$3:$A$502,0)</f>
        <v>4</v>
      </c>
      <c r="B1210" s="272" t="s">
        <v>357</v>
      </c>
      <c r="D1210" s="281" t="s">
        <v>1056</v>
      </c>
      <c r="E1210" s="272" t="s">
        <v>1268</v>
      </c>
      <c r="F1210" s="155" t="str">
        <f>_xlfn.XLOOKUP(B1210,STUDIES!$A$3:$A$1063,STUDIES!$G$3:$G$1063,"Not Found!")</f>
        <v>A</v>
      </c>
      <c r="G1210" s="273" t="s">
        <v>147</v>
      </c>
      <c r="H1210" s="273">
        <v>16</v>
      </c>
      <c r="I1210" s="273">
        <v>106</v>
      </c>
      <c r="J1210" s="274">
        <v>41</v>
      </c>
    </row>
    <row r="1211" spans="1:10" ht="18" customHeight="1" x14ac:dyDescent="0.35">
      <c r="A1211" s="274">
        <f>MATCH(B1211,STUDIES!$A$3:$A$502,0)</f>
        <v>4</v>
      </c>
      <c r="B1211" s="272" t="s">
        <v>357</v>
      </c>
      <c r="D1211" s="281" t="s">
        <v>1059</v>
      </c>
      <c r="E1211" s="272" t="s">
        <v>1268</v>
      </c>
      <c r="F1211" s="155" t="str">
        <f>_xlfn.XLOOKUP(B1211,STUDIES!$A$3:$A$1063,STUDIES!$G$3:$G$1063,"Not Found!")</f>
        <v>A</v>
      </c>
      <c r="G1211" s="273" t="s">
        <v>147</v>
      </c>
      <c r="H1211" s="273">
        <v>16</v>
      </c>
      <c r="I1211" s="273">
        <v>319</v>
      </c>
      <c r="J1211" s="274">
        <v>125</v>
      </c>
    </row>
    <row r="1212" spans="1:10" ht="18" customHeight="1" x14ac:dyDescent="0.35">
      <c r="A1212" s="274">
        <f>MATCH(B1212,STUDIES!$A$3:$A$502,0)</f>
        <v>4</v>
      </c>
      <c r="B1212" s="272" t="s">
        <v>357</v>
      </c>
      <c r="D1212" s="281" t="s">
        <v>148</v>
      </c>
      <c r="E1212" s="272" t="s">
        <v>1268</v>
      </c>
      <c r="F1212" s="155" t="str">
        <f>_xlfn.XLOOKUP(B1212,STUDIES!$A$3:$A$1063,STUDIES!$G$3:$G$1063,"Not Found!")</f>
        <v>A</v>
      </c>
      <c r="G1212" s="273" t="s">
        <v>147</v>
      </c>
      <c r="H1212" s="273">
        <v>16</v>
      </c>
      <c r="I1212" s="273">
        <v>315</v>
      </c>
      <c r="J1212" s="274">
        <v>39</v>
      </c>
    </row>
    <row r="1213" spans="1:10" ht="18" customHeight="1" x14ac:dyDescent="0.35">
      <c r="A1213" s="274">
        <f>MATCH(B1213,STUDIES!$A$3:$A$502,0)</f>
        <v>5</v>
      </c>
      <c r="B1213" s="272" t="s">
        <v>362</v>
      </c>
      <c r="D1213" s="281" t="s">
        <v>1059</v>
      </c>
      <c r="E1213" s="272" t="s">
        <v>1258</v>
      </c>
      <c r="F1213" s="155" t="str">
        <f>_xlfn.XLOOKUP(B1213,STUDIES!$A$3:$A$1063,STUDIES!$G$3:$G$1063,"Not Found!")</f>
        <v>A</v>
      </c>
      <c r="G1213" s="273" t="s">
        <v>147</v>
      </c>
      <c r="H1213" s="273">
        <v>16</v>
      </c>
      <c r="I1213" s="273">
        <v>97</v>
      </c>
      <c r="J1213" s="274">
        <v>70</v>
      </c>
    </row>
    <row r="1214" spans="1:10" ht="18" customHeight="1" x14ac:dyDescent="0.35">
      <c r="A1214" s="274">
        <f>MATCH(B1214,STUDIES!$A$3:$A$502,0)</f>
        <v>5</v>
      </c>
      <c r="B1214" s="272" t="s">
        <v>362</v>
      </c>
      <c r="D1214" s="281" t="s">
        <v>148</v>
      </c>
      <c r="E1214" s="272" t="s">
        <v>1258</v>
      </c>
      <c r="F1214" s="155" t="str">
        <f>_xlfn.XLOOKUP(B1214,STUDIES!$A$3:$A$1063,STUDIES!$G$3:$G$1063,"Not Found!")</f>
        <v>A</v>
      </c>
      <c r="G1214" s="273" t="s">
        <v>147</v>
      </c>
      <c r="H1214" s="273">
        <v>16</v>
      </c>
      <c r="I1214" s="273">
        <v>97</v>
      </c>
      <c r="J1214" s="274">
        <v>31</v>
      </c>
    </row>
    <row r="1215" spans="1:10" ht="18" customHeight="1" x14ac:dyDescent="0.35">
      <c r="A1215" s="274">
        <f>MATCH(B1215,STUDIES!$A$3:$A$502,0)</f>
        <v>5</v>
      </c>
      <c r="B1215" s="272" t="s">
        <v>362</v>
      </c>
      <c r="D1215" s="281" t="s">
        <v>1059</v>
      </c>
      <c r="E1215" s="272" t="s">
        <v>1243</v>
      </c>
      <c r="F1215" s="155" t="str">
        <f>_xlfn.XLOOKUP(B1215,STUDIES!$A$3:$A$1063,STUDIES!$G$3:$G$1063,"Not Found!")</f>
        <v>A</v>
      </c>
      <c r="G1215" s="273" t="s">
        <v>147</v>
      </c>
      <c r="H1215" s="273">
        <v>16</v>
      </c>
      <c r="I1215" s="273">
        <v>97</v>
      </c>
      <c r="J1215" s="274">
        <v>52</v>
      </c>
    </row>
    <row r="1216" spans="1:10" ht="18" customHeight="1" x14ac:dyDescent="0.35">
      <c r="A1216" s="274">
        <f>MATCH(B1216,STUDIES!$A$3:$A$502,0)</f>
        <v>5</v>
      </c>
      <c r="B1216" s="272" t="s">
        <v>362</v>
      </c>
      <c r="D1216" s="281" t="s">
        <v>148</v>
      </c>
      <c r="E1216" s="272" t="s">
        <v>1243</v>
      </c>
      <c r="F1216" s="155" t="str">
        <f>_xlfn.XLOOKUP(B1216,STUDIES!$A$3:$A$1063,STUDIES!$G$3:$G$1063,"Not Found!")</f>
        <v>A</v>
      </c>
      <c r="G1216" s="273" t="s">
        <v>147</v>
      </c>
      <c r="H1216" s="273">
        <v>16</v>
      </c>
      <c r="I1216" s="273">
        <v>97</v>
      </c>
      <c r="J1216" s="274">
        <v>19</v>
      </c>
    </row>
    <row r="1217" spans="1:10" ht="18" customHeight="1" x14ac:dyDescent="0.35">
      <c r="A1217" s="274">
        <f>MATCH(B1217,STUDIES!$A$3:$A$502,0)</f>
        <v>5</v>
      </c>
      <c r="B1217" s="272" t="s">
        <v>362</v>
      </c>
      <c r="D1217" s="281" t="s">
        <v>1059</v>
      </c>
      <c r="E1217" s="272" t="s">
        <v>1268</v>
      </c>
      <c r="F1217" s="155" t="str">
        <f>_xlfn.XLOOKUP(B1217,STUDIES!$A$3:$A$1063,STUDIES!$G$3:$G$1063,"Not Found!")</f>
        <v>A</v>
      </c>
      <c r="G1217" s="273" t="s">
        <v>147</v>
      </c>
      <c r="H1217" s="273">
        <v>16</v>
      </c>
      <c r="I1217" s="273">
        <v>97</v>
      </c>
      <c r="J1217" s="274">
        <v>43</v>
      </c>
    </row>
    <row r="1218" spans="1:10" ht="18" customHeight="1" x14ac:dyDescent="0.35">
      <c r="A1218" s="274">
        <f>MATCH(B1218,STUDIES!$A$3:$A$502,0)</f>
        <v>5</v>
      </c>
      <c r="B1218" s="272" t="s">
        <v>362</v>
      </c>
      <c r="D1218" s="281" t="s">
        <v>148</v>
      </c>
      <c r="E1218" s="272" t="s">
        <v>1268</v>
      </c>
      <c r="F1218" s="155" t="str">
        <f>_xlfn.XLOOKUP(B1218,STUDIES!$A$3:$A$1063,STUDIES!$G$3:$G$1063,"Not Found!")</f>
        <v>A</v>
      </c>
      <c r="G1218" s="273" t="s">
        <v>147</v>
      </c>
      <c r="H1218" s="273">
        <v>16</v>
      </c>
      <c r="I1218" s="273">
        <v>97</v>
      </c>
      <c r="J1218" s="274">
        <v>10</v>
      </c>
    </row>
    <row r="1219" spans="1:10" ht="18" customHeight="1" x14ac:dyDescent="0.35">
      <c r="A1219" s="274">
        <f>MATCH(B1219,STUDIES!$A$3:$A$502,0)</f>
        <v>8</v>
      </c>
      <c r="B1219" s="272" t="s">
        <v>410</v>
      </c>
      <c r="D1219" s="281" t="s">
        <v>1056</v>
      </c>
      <c r="E1219" s="272" t="s">
        <v>1258</v>
      </c>
      <c r="F1219" s="155" t="str">
        <f>_xlfn.XLOOKUP(B1219,STUDIES!$A$3:$A$1063,STUDIES!$G$3:$G$1063,"Not Found!")</f>
        <v>A</v>
      </c>
      <c r="G1219" s="273" t="s">
        <v>147</v>
      </c>
      <c r="H1219" s="273">
        <v>16</v>
      </c>
      <c r="I1219" s="273">
        <v>107</v>
      </c>
      <c r="J1219" s="274">
        <v>91</v>
      </c>
    </row>
    <row r="1220" spans="1:10" ht="18" customHeight="1" x14ac:dyDescent="0.35">
      <c r="A1220" s="274">
        <f>MATCH(B1220,STUDIES!$A$3:$A$502,0)</f>
        <v>8</v>
      </c>
      <c r="B1220" s="272" t="s">
        <v>410</v>
      </c>
      <c r="D1220" s="281" t="s">
        <v>1059</v>
      </c>
      <c r="E1220" s="272" t="s">
        <v>1258</v>
      </c>
      <c r="F1220" s="155" t="str">
        <f>_xlfn.XLOOKUP(B1220,STUDIES!$A$3:$A$1063,STUDIES!$G$3:$G$1063,"Not Found!")</f>
        <v>A</v>
      </c>
      <c r="G1220" s="273" t="s">
        <v>147</v>
      </c>
      <c r="H1220" s="273">
        <v>16</v>
      </c>
      <c r="I1220" s="273">
        <v>110</v>
      </c>
      <c r="J1220" s="274">
        <v>94</v>
      </c>
    </row>
    <row r="1221" spans="1:10" ht="18" customHeight="1" x14ac:dyDescent="0.35">
      <c r="A1221" s="274">
        <f>MATCH(B1221,STUDIES!$A$3:$A$502,0)</f>
        <v>8</v>
      </c>
      <c r="B1221" s="272" t="s">
        <v>410</v>
      </c>
      <c r="D1221" s="281" t="s">
        <v>148</v>
      </c>
      <c r="E1221" s="272" t="s">
        <v>1258</v>
      </c>
      <c r="F1221" s="155" t="str">
        <f>_xlfn.XLOOKUP(B1221,STUDIES!$A$3:$A$1063,STUDIES!$G$3:$G$1063,"Not Found!")</f>
        <v>A</v>
      </c>
      <c r="G1221" s="273" t="s">
        <v>147</v>
      </c>
      <c r="H1221" s="273">
        <v>16</v>
      </c>
      <c r="I1221" s="273">
        <v>108</v>
      </c>
      <c r="J1221" s="274">
        <v>47</v>
      </c>
    </row>
    <row r="1222" spans="1:10" ht="18" customHeight="1" x14ac:dyDescent="0.35">
      <c r="A1222" s="274">
        <f>MATCH(B1222,STUDIES!$A$3:$A$502,0)</f>
        <v>8</v>
      </c>
      <c r="B1222" s="272" t="s">
        <v>410</v>
      </c>
      <c r="D1222" s="281" t="s">
        <v>1056</v>
      </c>
      <c r="E1222" s="272" t="s">
        <v>1243</v>
      </c>
      <c r="F1222" s="155" t="str">
        <f>_xlfn.XLOOKUP(B1222,STUDIES!$A$3:$A$1063,STUDIES!$G$3:$G$1063,"Not Found!")</f>
        <v>A</v>
      </c>
      <c r="G1222" s="273" t="s">
        <v>147</v>
      </c>
      <c r="H1222" s="273">
        <v>16</v>
      </c>
      <c r="I1222" s="273">
        <v>107</v>
      </c>
      <c r="J1222" s="274">
        <v>67</v>
      </c>
    </row>
    <row r="1223" spans="1:10" ht="18" customHeight="1" x14ac:dyDescent="0.35">
      <c r="A1223" s="274">
        <f>MATCH(B1223,STUDIES!$A$3:$A$502,0)</f>
        <v>8</v>
      </c>
      <c r="B1223" s="272" t="s">
        <v>410</v>
      </c>
      <c r="D1223" s="281" t="s">
        <v>1059</v>
      </c>
      <c r="E1223" s="272" t="s">
        <v>1243</v>
      </c>
      <c r="F1223" s="155" t="str">
        <f>_xlfn.XLOOKUP(B1223,STUDIES!$A$3:$A$1063,STUDIES!$G$3:$G$1063,"Not Found!")</f>
        <v>A</v>
      </c>
      <c r="G1223" s="273" t="s">
        <v>147</v>
      </c>
      <c r="H1223" s="273">
        <v>16</v>
      </c>
      <c r="I1223" s="273">
        <v>110</v>
      </c>
      <c r="J1223" s="274">
        <v>65</v>
      </c>
    </row>
    <row r="1224" spans="1:10" ht="18" customHeight="1" x14ac:dyDescent="0.35">
      <c r="A1224" s="274">
        <f>MATCH(B1224,STUDIES!$A$3:$A$502,0)</f>
        <v>8</v>
      </c>
      <c r="B1224" s="272" t="s">
        <v>410</v>
      </c>
      <c r="D1224" s="281" t="s">
        <v>148</v>
      </c>
      <c r="E1224" s="272" t="s">
        <v>1243</v>
      </c>
      <c r="F1224" s="155" t="str">
        <f>_xlfn.XLOOKUP(B1224,STUDIES!$A$3:$A$1063,STUDIES!$G$3:$G$1063,"Not Found!")</f>
        <v>A</v>
      </c>
      <c r="G1224" s="273" t="s">
        <v>147</v>
      </c>
      <c r="H1224" s="273">
        <v>16</v>
      </c>
      <c r="I1224" s="273">
        <v>108</v>
      </c>
      <c r="J1224" s="274">
        <v>32</v>
      </c>
    </row>
    <row r="1225" spans="1:10" ht="18" customHeight="1" x14ac:dyDescent="0.35">
      <c r="A1225" s="274">
        <f>MATCH(B1225,STUDIES!$A$3:$A$502,0)</f>
        <v>8</v>
      </c>
      <c r="B1225" s="272" t="s">
        <v>410</v>
      </c>
      <c r="D1225" s="281" t="s">
        <v>1056</v>
      </c>
      <c r="E1225" s="272" t="s">
        <v>1244</v>
      </c>
      <c r="F1225" s="155" t="str">
        <f>_xlfn.XLOOKUP(B1225,STUDIES!$A$3:$A$1063,STUDIES!$G$3:$G$1063,"Not Found!")</f>
        <v>A</v>
      </c>
      <c r="G1225" s="273" t="s">
        <v>147</v>
      </c>
      <c r="H1225" s="273">
        <v>16</v>
      </c>
      <c r="I1225" s="273">
        <v>107</v>
      </c>
      <c r="J1225" s="274">
        <v>49</v>
      </c>
    </row>
    <row r="1226" spans="1:10" ht="18" customHeight="1" x14ac:dyDescent="0.35">
      <c r="A1226" s="274">
        <f>MATCH(B1226,STUDIES!$A$3:$A$502,0)</f>
        <v>8</v>
      </c>
      <c r="B1226" s="272" t="s">
        <v>410</v>
      </c>
      <c r="D1226" s="281" t="s">
        <v>1059</v>
      </c>
      <c r="E1226" s="272" t="s">
        <v>1244</v>
      </c>
      <c r="F1226" s="155" t="str">
        <f>_xlfn.XLOOKUP(B1226,STUDIES!$A$3:$A$1063,STUDIES!$G$3:$G$1063,"Not Found!")</f>
        <v>A</v>
      </c>
      <c r="G1226" s="273" t="s">
        <v>147</v>
      </c>
      <c r="H1226" s="273">
        <v>16</v>
      </c>
      <c r="I1226" s="273">
        <v>110</v>
      </c>
      <c r="J1226" s="274">
        <v>41</v>
      </c>
    </row>
    <row r="1227" spans="1:10" ht="18" customHeight="1" x14ac:dyDescent="0.35">
      <c r="A1227" s="274">
        <f>MATCH(B1227,STUDIES!$A$3:$A$502,0)</f>
        <v>8</v>
      </c>
      <c r="B1227" s="272" t="s">
        <v>410</v>
      </c>
      <c r="D1227" s="281" t="s">
        <v>148</v>
      </c>
      <c r="E1227" s="272" t="s">
        <v>1244</v>
      </c>
      <c r="F1227" s="155" t="str">
        <f>_xlfn.XLOOKUP(B1227,STUDIES!$A$3:$A$1063,STUDIES!$G$3:$G$1063,"Not Found!")</f>
        <v>A</v>
      </c>
      <c r="G1227" s="273" t="s">
        <v>147</v>
      </c>
      <c r="H1227" s="273">
        <v>16</v>
      </c>
      <c r="I1227" s="273">
        <v>108</v>
      </c>
      <c r="J1227" s="274">
        <v>13</v>
      </c>
    </row>
    <row r="1228" spans="1:10" ht="18" customHeight="1" x14ac:dyDescent="0.35">
      <c r="A1228" s="274">
        <f>MATCH(B1228,STUDIES!$A$3:$A$502,0)</f>
        <v>8</v>
      </c>
      <c r="B1228" s="272" t="s">
        <v>410</v>
      </c>
      <c r="D1228" s="281" t="s">
        <v>1056</v>
      </c>
      <c r="E1228" s="272" t="s">
        <v>1268</v>
      </c>
      <c r="F1228" s="155" t="str">
        <f>_xlfn.XLOOKUP(B1228,STUDIES!$A$3:$A$1063,STUDIES!$G$3:$G$1063,"Not Found!")</f>
        <v>A</v>
      </c>
      <c r="G1228" s="273" t="s">
        <v>147</v>
      </c>
      <c r="H1228" s="273">
        <v>16</v>
      </c>
      <c r="I1228" s="273">
        <v>107</v>
      </c>
      <c r="J1228" s="274">
        <v>43</v>
      </c>
    </row>
    <row r="1229" spans="1:10" ht="18" customHeight="1" x14ac:dyDescent="0.35">
      <c r="A1229" s="274">
        <f>MATCH(B1229,STUDIES!$A$3:$A$502,0)</f>
        <v>8</v>
      </c>
      <c r="B1229" s="272" t="s">
        <v>410</v>
      </c>
      <c r="D1229" s="281" t="s">
        <v>1059</v>
      </c>
      <c r="E1229" s="272" t="s">
        <v>1268</v>
      </c>
      <c r="F1229" s="155" t="str">
        <f>_xlfn.XLOOKUP(B1229,STUDIES!$A$3:$A$1063,STUDIES!$G$3:$G$1063,"Not Found!")</f>
        <v>A</v>
      </c>
      <c r="G1229" s="273" t="s">
        <v>147</v>
      </c>
      <c r="H1229" s="273">
        <v>16</v>
      </c>
      <c r="I1229" s="273">
        <v>110</v>
      </c>
      <c r="J1229" s="274">
        <v>43</v>
      </c>
    </row>
    <row r="1230" spans="1:10" ht="18" customHeight="1" x14ac:dyDescent="0.35">
      <c r="A1230" s="274">
        <f>MATCH(B1230,STUDIES!$A$3:$A$502,0)</f>
        <v>8</v>
      </c>
      <c r="B1230" s="272" t="s">
        <v>410</v>
      </c>
      <c r="D1230" s="281" t="s">
        <v>148</v>
      </c>
      <c r="E1230" s="272" t="s">
        <v>1268</v>
      </c>
      <c r="F1230" s="155" t="str">
        <f>_xlfn.XLOOKUP(B1230,STUDIES!$A$3:$A$1063,STUDIES!$G$3:$G$1063,"Not Found!")</f>
        <v>A</v>
      </c>
      <c r="G1230" s="273" t="s">
        <v>147</v>
      </c>
      <c r="H1230" s="273">
        <v>16</v>
      </c>
      <c r="I1230" s="273">
        <v>108</v>
      </c>
      <c r="J1230" s="274">
        <v>15</v>
      </c>
    </row>
    <row r="1231" spans="1:10" ht="18" customHeight="1" x14ac:dyDescent="0.35">
      <c r="A1231" s="274">
        <f>MATCH(B1231,STUDIES!$A$3:$A$502,0)</f>
        <v>10</v>
      </c>
      <c r="B1231" s="272" t="s">
        <v>697</v>
      </c>
      <c r="D1231" s="281" t="s">
        <v>1087</v>
      </c>
      <c r="E1231" s="272" t="s">
        <v>1258</v>
      </c>
      <c r="F1231" s="155" t="str">
        <f>_xlfn.XLOOKUP(B1231,STUDIES!$A$3:$A$1063,STUDIES!$G$3:$G$1063,"Not Found!")</f>
        <v>A</v>
      </c>
      <c r="G1231" s="273" t="s">
        <v>147</v>
      </c>
      <c r="H1231" s="273">
        <v>16</v>
      </c>
      <c r="I1231" s="273">
        <v>46</v>
      </c>
      <c r="J1231" s="274">
        <v>12</v>
      </c>
    </row>
    <row r="1232" spans="1:10" ht="18" customHeight="1" x14ac:dyDescent="0.35">
      <c r="A1232" s="274">
        <f>MATCH(B1232,STUDIES!$A$3:$A$502,0)</f>
        <v>10</v>
      </c>
      <c r="B1232" s="272" t="s">
        <v>697</v>
      </c>
      <c r="D1232" s="281" t="s">
        <v>1088</v>
      </c>
      <c r="E1232" s="272" t="s">
        <v>1258</v>
      </c>
      <c r="F1232" s="155" t="str">
        <f>_xlfn.XLOOKUP(B1232,STUDIES!$A$3:$A$1063,STUDIES!$G$3:$G$1063,"Not Found!")</f>
        <v>A</v>
      </c>
      <c r="G1232" s="273" t="s">
        <v>147</v>
      </c>
      <c r="H1232" s="273">
        <v>16</v>
      </c>
      <c r="I1232" s="273">
        <v>54</v>
      </c>
      <c r="J1232" s="274">
        <v>30</v>
      </c>
    </row>
    <row r="1233" spans="1:10" ht="18" customHeight="1" x14ac:dyDescent="0.35">
      <c r="A1233" s="274">
        <f>MATCH(B1233,STUDIES!$A$3:$A$502,0)</f>
        <v>10</v>
      </c>
      <c r="B1233" s="272" t="s">
        <v>697</v>
      </c>
      <c r="D1233" s="281" t="s">
        <v>1089</v>
      </c>
      <c r="E1233" s="272" t="s">
        <v>1258</v>
      </c>
      <c r="F1233" s="155" t="str">
        <f>_xlfn.XLOOKUP(B1233,STUDIES!$A$3:$A$1063,STUDIES!$G$3:$G$1063,"Not Found!")</f>
        <v>A</v>
      </c>
      <c r="G1233" s="273" t="s">
        <v>147</v>
      </c>
      <c r="H1233" s="273">
        <v>16</v>
      </c>
      <c r="I1233" s="273">
        <v>48</v>
      </c>
      <c r="J1233" s="274">
        <v>38</v>
      </c>
    </row>
    <row r="1234" spans="1:10" ht="18" customHeight="1" x14ac:dyDescent="0.35">
      <c r="A1234" s="274">
        <f>MATCH(B1234,STUDIES!$A$3:$A$502,0)</f>
        <v>10</v>
      </c>
      <c r="B1234" s="272" t="s">
        <v>697</v>
      </c>
      <c r="D1234" s="281" t="s">
        <v>1090</v>
      </c>
      <c r="E1234" s="272" t="s">
        <v>1258</v>
      </c>
      <c r="F1234" s="155" t="str">
        <f>_xlfn.XLOOKUP(B1234,STUDIES!$A$3:$A$1063,STUDIES!$G$3:$G$1063,"Not Found!")</f>
        <v>A</v>
      </c>
      <c r="G1234" s="273" t="s">
        <v>147</v>
      </c>
      <c r="H1234" s="273">
        <v>16</v>
      </c>
      <c r="I1234" s="273">
        <v>45</v>
      </c>
      <c r="J1234" s="274">
        <v>15</v>
      </c>
    </row>
    <row r="1235" spans="1:10" ht="18" customHeight="1" x14ac:dyDescent="0.35">
      <c r="A1235" s="274">
        <f>MATCH(B1235,STUDIES!$A$3:$A$502,0)</f>
        <v>10</v>
      </c>
      <c r="B1235" s="272" t="s">
        <v>697</v>
      </c>
      <c r="D1235" s="281" t="s">
        <v>148</v>
      </c>
      <c r="E1235" s="272" t="s">
        <v>1258</v>
      </c>
      <c r="F1235" s="155" t="str">
        <f>_xlfn.XLOOKUP(B1235,STUDIES!$A$3:$A$1063,STUDIES!$G$3:$G$1063,"Not Found!")</f>
        <v>A</v>
      </c>
      <c r="G1235" s="273" t="s">
        <v>147</v>
      </c>
      <c r="H1235" s="273">
        <v>16</v>
      </c>
      <c r="I1235" s="273">
        <v>52</v>
      </c>
      <c r="J1235" s="274">
        <v>14</v>
      </c>
    </row>
    <row r="1236" spans="1:10" ht="18" customHeight="1" x14ac:dyDescent="0.35">
      <c r="A1236" s="274">
        <f>MATCH(B1236,STUDIES!$A$3:$A$502,0)</f>
        <v>10</v>
      </c>
      <c r="B1236" s="272" t="s">
        <v>697</v>
      </c>
      <c r="D1236" s="281" t="s">
        <v>1087</v>
      </c>
      <c r="E1236" s="272" t="s">
        <v>1243</v>
      </c>
      <c r="F1236" s="155" t="str">
        <f>_xlfn.XLOOKUP(B1236,STUDIES!$A$3:$A$1063,STUDIES!$G$3:$G$1063,"Not Found!")</f>
        <v>A</v>
      </c>
      <c r="G1236" s="273" t="s">
        <v>147</v>
      </c>
      <c r="H1236" s="273">
        <v>16</v>
      </c>
      <c r="I1236" s="273">
        <v>46</v>
      </c>
      <c r="J1236" s="274">
        <v>8</v>
      </c>
    </row>
    <row r="1237" spans="1:10" ht="18" customHeight="1" x14ac:dyDescent="0.35">
      <c r="A1237" s="274">
        <f>MATCH(B1237,STUDIES!$A$3:$A$502,0)</f>
        <v>10</v>
      </c>
      <c r="B1237" s="272" t="s">
        <v>697</v>
      </c>
      <c r="D1237" s="281" t="s">
        <v>1088</v>
      </c>
      <c r="E1237" s="272" t="s">
        <v>1243</v>
      </c>
      <c r="F1237" s="155" t="str">
        <f>_xlfn.XLOOKUP(B1237,STUDIES!$A$3:$A$1063,STUDIES!$G$3:$G$1063,"Not Found!")</f>
        <v>A</v>
      </c>
      <c r="G1237" s="273" t="s">
        <v>147</v>
      </c>
      <c r="H1237" s="273">
        <v>16</v>
      </c>
      <c r="I1237" s="273">
        <v>54</v>
      </c>
      <c r="J1237" s="274">
        <v>22</v>
      </c>
    </row>
    <row r="1238" spans="1:10" ht="18" customHeight="1" x14ac:dyDescent="0.35">
      <c r="A1238" s="274">
        <f>MATCH(B1238,STUDIES!$A$3:$A$502,0)</f>
        <v>10</v>
      </c>
      <c r="B1238" s="272" t="s">
        <v>697</v>
      </c>
      <c r="D1238" s="281" t="s">
        <v>1089</v>
      </c>
      <c r="E1238" s="272" t="s">
        <v>1243</v>
      </c>
      <c r="F1238" s="155" t="str">
        <f>_xlfn.XLOOKUP(B1238,STUDIES!$A$3:$A$1063,STUDIES!$G$3:$G$1063,"Not Found!")</f>
        <v>A</v>
      </c>
      <c r="G1238" s="273" t="s">
        <v>147</v>
      </c>
      <c r="H1238" s="273">
        <v>16</v>
      </c>
      <c r="I1238" s="273">
        <v>48</v>
      </c>
      <c r="J1238" s="274">
        <v>31</v>
      </c>
    </row>
    <row r="1239" spans="1:10" ht="18" customHeight="1" x14ac:dyDescent="0.35">
      <c r="A1239" s="274">
        <f>MATCH(B1239,STUDIES!$A$3:$A$502,0)</f>
        <v>10</v>
      </c>
      <c r="B1239" s="272" t="s">
        <v>697</v>
      </c>
      <c r="D1239" s="281" t="s">
        <v>1090</v>
      </c>
      <c r="E1239" s="272" t="s">
        <v>1243</v>
      </c>
      <c r="F1239" s="155" t="str">
        <f>_xlfn.XLOOKUP(B1239,STUDIES!$A$3:$A$1063,STUDIES!$G$3:$G$1063,"Not Found!")</f>
        <v>A</v>
      </c>
      <c r="G1239" s="273" t="s">
        <v>147</v>
      </c>
      <c r="H1239" s="273">
        <v>16</v>
      </c>
      <c r="I1239" s="273">
        <v>45</v>
      </c>
      <c r="J1239" s="274">
        <v>6</v>
      </c>
    </row>
    <row r="1240" spans="1:10" ht="18" customHeight="1" x14ac:dyDescent="0.35">
      <c r="A1240" s="274">
        <f>MATCH(B1240,STUDIES!$A$3:$A$502,0)</f>
        <v>10</v>
      </c>
      <c r="B1240" s="272" t="s">
        <v>697</v>
      </c>
      <c r="D1240" s="281" t="s">
        <v>148</v>
      </c>
      <c r="E1240" s="272" t="s">
        <v>1243</v>
      </c>
      <c r="F1240" s="155" t="str">
        <f>_xlfn.XLOOKUP(B1240,STUDIES!$A$3:$A$1063,STUDIES!$G$3:$G$1063,"Not Found!")</f>
        <v>A</v>
      </c>
      <c r="G1240" s="273" t="s">
        <v>147</v>
      </c>
      <c r="H1240" s="273">
        <v>16</v>
      </c>
      <c r="I1240" s="273">
        <v>52</v>
      </c>
      <c r="J1240" s="274">
        <v>8</v>
      </c>
    </row>
    <row r="1241" spans="1:10" ht="18" customHeight="1" x14ac:dyDescent="0.35">
      <c r="A1241" s="274">
        <f>MATCH(B1241,STUDIES!$A$3:$A$502,0)</f>
        <v>10</v>
      </c>
      <c r="B1241" s="272" t="s">
        <v>697</v>
      </c>
      <c r="D1241" s="281" t="s">
        <v>1087</v>
      </c>
      <c r="E1241" s="272" t="s">
        <v>1244</v>
      </c>
      <c r="F1241" s="155" t="str">
        <f>_xlfn.XLOOKUP(B1241,STUDIES!$A$3:$A$1063,STUDIES!$G$3:$G$1063,"Not Found!")</f>
        <v>A</v>
      </c>
      <c r="G1241" s="273" t="s">
        <v>147</v>
      </c>
      <c r="H1241" s="273">
        <v>16</v>
      </c>
      <c r="I1241" s="273">
        <v>46</v>
      </c>
      <c r="J1241" s="274">
        <v>5</v>
      </c>
    </row>
    <row r="1242" spans="1:10" ht="18" customHeight="1" x14ac:dyDescent="0.35">
      <c r="A1242" s="274">
        <f>MATCH(B1242,STUDIES!$A$3:$A$502,0)</f>
        <v>10</v>
      </c>
      <c r="B1242" s="272" t="s">
        <v>697</v>
      </c>
      <c r="D1242" s="281" t="s">
        <v>1088</v>
      </c>
      <c r="E1242" s="272" t="s">
        <v>1244</v>
      </c>
      <c r="F1242" s="155" t="str">
        <f>_xlfn.XLOOKUP(B1242,STUDIES!$A$3:$A$1063,STUDIES!$G$3:$G$1063,"Not Found!")</f>
        <v>A</v>
      </c>
      <c r="G1242" s="273" t="s">
        <v>147</v>
      </c>
      <c r="H1242" s="273">
        <v>16</v>
      </c>
      <c r="I1242" s="273">
        <v>54</v>
      </c>
      <c r="J1242" s="274">
        <v>14</v>
      </c>
    </row>
    <row r="1243" spans="1:10" ht="18" customHeight="1" x14ac:dyDescent="0.35">
      <c r="A1243" s="274">
        <f>MATCH(B1243,STUDIES!$A$3:$A$502,0)</f>
        <v>10</v>
      </c>
      <c r="B1243" s="272" t="s">
        <v>697</v>
      </c>
      <c r="D1243" s="281" t="s">
        <v>1089</v>
      </c>
      <c r="E1243" s="272" t="s">
        <v>1244</v>
      </c>
      <c r="F1243" s="155" t="str">
        <f>_xlfn.XLOOKUP(B1243,STUDIES!$A$3:$A$1063,STUDIES!$G$3:$G$1063,"Not Found!")</f>
        <v>A</v>
      </c>
      <c r="G1243" s="273" t="s">
        <v>147</v>
      </c>
      <c r="H1243" s="273">
        <v>16</v>
      </c>
      <c r="I1243" s="273">
        <v>48</v>
      </c>
      <c r="J1243" s="274">
        <v>21</v>
      </c>
    </row>
    <row r="1244" spans="1:10" ht="18" customHeight="1" x14ac:dyDescent="0.35">
      <c r="A1244" s="274">
        <f>MATCH(B1244,STUDIES!$A$3:$A$502,0)</f>
        <v>10</v>
      </c>
      <c r="B1244" s="272" t="s">
        <v>697</v>
      </c>
      <c r="D1244" s="281" t="s">
        <v>1090</v>
      </c>
      <c r="E1244" s="272" t="s">
        <v>1244</v>
      </c>
      <c r="F1244" s="155" t="str">
        <f>_xlfn.XLOOKUP(B1244,STUDIES!$A$3:$A$1063,STUDIES!$G$3:$G$1063,"Not Found!")</f>
        <v>A</v>
      </c>
      <c r="G1244" s="273" t="s">
        <v>147</v>
      </c>
      <c r="H1244" s="273">
        <v>16</v>
      </c>
      <c r="I1244" s="273">
        <v>45</v>
      </c>
      <c r="J1244" s="274">
        <v>0</v>
      </c>
    </row>
    <row r="1245" spans="1:10" ht="18" customHeight="1" x14ac:dyDescent="0.35">
      <c r="A1245" s="274">
        <f>MATCH(B1245,STUDIES!$A$3:$A$502,0)</f>
        <v>10</v>
      </c>
      <c r="B1245" s="272" t="s">
        <v>697</v>
      </c>
      <c r="D1245" s="281" t="s">
        <v>148</v>
      </c>
      <c r="E1245" s="272" t="s">
        <v>1244</v>
      </c>
      <c r="F1245" s="155" t="str">
        <f>_xlfn.XLOOKUP(B1245,STUDIES!$A$3:$A$1063,STUDIES!$G$3:$G$1063,"Not Found!")</f>
        <v>A</v>
      </c>
      <c r="G1245" s="273" t="s">
        <v>147</v>
      </c>
      <c r="H1245" s="273">
        <v>16</v>
      </c>
      <c r="I1245" s="273">
        <v>52</v>
      </c>
      <c r="J1245" s="274">
        <v>5</v>
      </c>
    </row>
    <row r="1246" spans="1:10" ht="18" customHeight="1" x14ac:dyDescent="0.35">
      <c r="A1246" s="274">
        <f>MATCH(B1246,STUDIES!$A$3:$A$502,0)</f>
        <v>10</v>
      </c>
      <c r="B1246" s="272" t="s">
        <v>697</v>
      </c>
      <c r="D1246" s="281" t="s">
        <v>1087</v>
      </c>
      <c r="E1246" s="272" t="s">
        <v>1268</v>
      </c>
      <c r="F1246" s="155" t="str">
        <f>_xlfn.XLOOKUP(B1246,STUDIES!$A$3:$A$1063,STUDIES!$G$3:$G$1063,"Not Found!")</f>
        <v>A</v>
      </c>
      <c r="G1246" s="273" t="s">
        <v>147</v>
      </c>
      <c r="H1246" s="273">
        <v>16</v>
      </c>
      <c r="I1246" s="273">
        <v>46</v>
      </c>
      <c r="J1246" s="274">
        <v>5</v>
      </c>
    </row>
    <row r="1247" spans="1:10" ht="18" customHeight="1" x14ac:dyDescent="0.35">
      <c r="A1247" s="274">
        <f>MATCH(B1247,STUDIES!$A$3:$A$502,0)</f>
        <v>10</v>
      </c>
      <c r="B1247" s="272" t="s">
        <v>697</v>
      </c>
      <c r="D1247" s="281" t="s">
        <v>1088</v>
      </c>
      <c r="E1247" s="272" t="s">
        <v>1268</v>
      </c>
      <c r="F1247" s="155" t="str">
        <f>_xlfn.XLOOKUP(B1247,STUDIES!$A$3:$A$1063,STUDIES!$G$3:$G$1063,"Not Found!")</f>
        <v>A</v>
      </c>
      <c r="G1247" s="273" t="s">
        <v>147</v>
      </c>
      <c r="H1247" s="273">
        <v>16</v>
      </c>
      <c r="I1247" s="273">
        <v>54</v>
      </c>
      <c r="J1247" s="274">
        <v>16</v>
      </c>
    </row>
    <row r="1248" spans="1:10" ht="18" customHeight="1" x14ac:dyDescent="0.35">
      <c r="A1248" s="274">
        <f>MATCH(B1248,STUDIES!$A$3:$A$502,0)</f>
        <v>10</v>
      </c>
      <c r="B1248" s="272" t="s">
        <v>697</v>
      </c>
      <c r="D1248" s="281" t="s">
        <v>1089</v>
      </c>
      <c r="E1248" s="272" t="s">
        <v>1268</v>
      </c>
      <c r="F1248" s="155" t="str">
        <f>_xlfn.XLOOKUP(B1248,STUDIES!$A$3:$A$1063,STUDIES!$G$3:$G$1063,"Not Found!")</f>
        <v>A</v>
      </c>
      <c r="G1248" s="273" t="s">
        <v>147</v>
      </c>
      <c r="H1248" s="273">
        <v>16</v>
      </c>
      <c r="I1248" s="273">
        <v>48</v>
      </c>
      <c r="J1248" s="274">
        <v>21</v>
      </c>
    </row>
    <row r="1249" spans="1:10" ht="18" customHeight="1" x14ac:dyDescent="0.35">
      <c r="A1249" s="274">
        <f>MATCH(B1249,STUDIES!$A$3:$A$502,0)</f>
        <v>10</v>
      </c>
      <c r="B1249" s="272" t="s">
        <v>697</v>
      </c>
      <c r="D1249" s="281" t="s">
        <v>1090</v>
      </c>
      <c r="E1249" s="272" t="s">
        <v>1268</v>
      </c>
      <c r="F1249" s="155" t="str">
        <f>_xlfn.XLOOKUP(B1249,STUDIES!$A$3:$A$1063,STUDIES!$G$3:$G$1063,"Not Found!")</f>
        <v>A</v>
      </c>
      <c r="G1249" s="273" t="s">
        <v>147</v>
      </c>
      <c r="H1249" s="273">
        <v>16</v>
      </c>
      <c r="I1249" s="273">
        <v>45</v>
      </c>
      <c r="J1249" s="274">
        <v>4</v>
      </c>
    </row>
    <row r="1250" spans="1:10" ht="18" customHeight="1" x14ac:dyDescent="0.35">
      <c r="A1250" s="274">
        <f>MATCH(B1250,STUDIES!$A$3:$A$502,0)</f>
        <v>10</v>
      </c>
      <c r="B1250" s="272" t="s">
        <v>697</v>
      </c>
      <c r="D1250" s="281" t="s">
        <v>148</v>
      </c>
      <c r="E1250" s="272" t="s">
        <v>1268</v>
      </c>
      <c r="F1250" s="155" t="str">
        <f>_xlfn.XLOOKUP(B1250,STUDIES!$A$3:$A$1063,STUDIES!$G$3:$G$1063,"Not Found!")</f>
        <v>A</v>
      </c>
      <c r="G1250" s="273" t="s">
        <v>147</v>
      </c>
      <c r="H1250" s="273">
        <v>16</v>
      </c>
      <c r="I1250" s="273">
        <v>52</v>
      </c>
      <c r="J1250" s="274">
        <v>3</v>
      </c>
    </row>
    <row r="1251" spans="1:10" ht="18" customHeight="1" x14ac:dyDescent="0.35">
      <c r="A1251" s="274">
        <f>MATCH(B1251,STUDIES!$A$3:$A$502,0)</f>
        <v>11</v>
      </c>
      <c r="B1251" s="272" t="s">
        <v>740</v>
      </c>
      <c r="D1251" s="281" t="s">
        <v>1049</v>
      </c>
      <c r="E1251" s="272" t="s">
        <v>1258</v>
      </c>
      <c r="F1251" s="155" t="str">
        <f>_xlfn.XLOOKUP(B1251,STUDIES!$A$3:$A$1063,STUDIES!$G$3:$G$1063,"Not Found!")</f>
        <v>A</v>
      </c>
      <c r="G1251" s="273" t="s">
        <v>152</v>
      </c>
      <c r="H1251" s="273">
        <v>24</v>
      </c>
      <c r="I1251" s="273">
        <v>31</v>
      </c>
      <c r="J1251" s="274">
        <v>25</v>
      </c>
    </row>
    <row r="1252" spans="1:10" ht="18" customHeight="1" x14ac:dyDescent="0.35">
      <c r="A1252" s="274">
        <f>MATCH(B1252,STUDIES!$A$3:$A$502,0)</f>
        <v>11</v>
      </c>
      <c r="B1252" s="272" t="s">
        <v>740</v>
      </c>
      <c r="D1252" s="281" t="s">
        <v>1075</v>
      </c>
      <c r="E1252" s="272" t="s">
        <v>1258</v>
      </c>
      <c r="F1252" s="155" t="str">
        <f>_xlfn.XLOOKUP(B1252,STUDIES!$A$3:$A$1063,STUDIES!$G$3:$G$1063,"Not Found!")</f>
        <v>A</v>
      </c>
      <c r="G1252" s="273" t="s">
        <v>152</v>
      </c>
      <c r="H1252" s="273">
        <v>24</v>
      </c>
      <c r="I1252" s="273">
        <v>23</v>
      </c>
      <c r="J1252" s="274">
        <v>20</v>
      </c>
    </row>
    <row r="1253" spans="1:10" ht="18" customHeight="1" x14ac:dyDescent="0.35">
      <c r="A1253" s="274">
        <f>MATCH(B1253,STUDIES!$A$3:$A$502,0)</f>
        <v>11</v>
      </c>
      <c r="B1253" s="272" t="s">
        <v>740</v>
      </c>
      <c r="D1253" s="281" t="s">
        <v>1049</v>
      </c>
      <c r="E1253" s="272" t="s">
        <v>1258</v>
      </c>
      <c r="F1253" s="155" t="str">
        <f>_xlfn.XLOOKUP(B1253,STUDIES!$A$3:$A$1063,STUDIES!$G$3:$G$1063,"Not Found!")</f>
        <v>A</v>
      </c>
      <c r="G1253" s="273" t="s">
        <v>147</v>
      </c>
      <c r="H1253" s="273">
        <v>16</v>
      </c>
      <c r="I1253" s="273">
        <v>34</v>
      </c>
      <c r="J1253" s="274">
        <v>27</v>
      </c>
    </row>
    <row r="1254" spans="1:10" ht="18" customHeight="1" x14ac:dyDescent="0.35">
      <c r="A1254" s="274">
        <f>MATCH(B1254,STUDIES!$A$3:$A$502,0)</f>
        <v>11</v>
      </c>
      <c r="B1254" s="272" t="s">
        <v>740</v>
      </c>
      <c r="D1254" s="281" t="s">
        <v>1075</v>
      </c>
      <c r="E1254" s="272" t="s">
        <v>1258</v>
      </c>
      <c r="F1254" s="155" t="str">
        <f>_xlfn.XLOOKUP(B1254,STUDIES!$A$3:$A$1063,STUDIES!$G$3:$G$1063,"Not Found!")</f>
        <v>A</v>
      </c>
      <c r="G1254" s="273" t="s">
        <v>147</v>
      </c>
      <c r="H1254" s="273">
        <v>16</v>
      </c>
      <c r="I1254" s="273">
        <v>27</v>
      </c>
      <c r="J1254" s="274">
        <v>18</v>
      </c>
    </row>
    <row r="1255" spans="1:10" ht="18" customHeight="1" x14ac:dyDescent="0.35">
      <c r="A1255" s="274">
        <f>MATCH(B1255,STUDIES!$A$3:$A$502,0)</f>
        <v>13</v>
      </c>
      <c r="B1255" s="272" t="s">
        <v>901</v>
      </c>
      <c r="D1255" s="281" t="s">
        <v>1043</v>
      </c>
      <c r="E1255" s="272" t="s">
        <v>1258</v>
      </c>
      <c r="F1255" s="155" t="str">
        <f>_xlfn.XLOOKUP(B1255,STUDIES!$A$3:$A$1063,STUDIES!$G$3:$G$1063,"Not Found!")</f>
        <v>A</v>
      </c>
      <c r="G1255" s="273" t="s">
        <v>147</v>
      </c>
      <c r="H1255" s="273">
        <v>16</v>
      </c>
      <c r="I1255" s="273">
        <v>37</v>
      </c>
      <c r="J1255" s="274">
        <v>21</v>
      </c>
    </row>
    <row r="1256" spans="1:10" ht="18" customHeight="1" x14ac:dyDescent="0.35">
      <c r="A1256" s="274">
        <f>MATCH(B1256,STUDIES!$A$3:$A$502,0)</f>
        <v>13</v>
      </c>
      <c r="B1256" s="272" t="s">
        <v>901</v>
      </c>
      <c r="D1256" s="281" t="s">
        <v>1044</v>
      </c>
      <c r="E1256" s="272" t="s">
        <v>1258</v>
      </c>
      <c r="F1256" s="155" t="str">
        <f>_xlfn.XLOOKUP(B1256,STUDIES!$A$3:$A$1063,STUDIES!$G$3:$G$1063,"Not Found!")</f>
        <v>A</v>
      </c>
      <c r="G1256" s="273" t="s">
        <v>147</v>
      </c>
      <c r="H1256" s="273">
        <v>16</v>
      </c>
      <c r="I1256" s="273">
        <v>38</v>
      </c>
      <c r="J1256" s="274">
        <v>23</v>
      </c>
    </row>
    <row r="1257" spans="1:10" ht="18" customHeight="1" x14ac:dyDescent="0.35">
      <c r="A1257" s="274">
        <f>MATCH(B1257,STUDIES!$A$3:$A$502,0)</f>
        <v>13</v>
      </c>
      <c r="B1257" s="272" t="s">
        <v>901</v>
      </c>
      <c r="D1257" s="281" t="s">
        <v>148</v>
      </c>
      <c r="E1257" s="272" t="s">
        <v>1258</v>
      </c>
      <c r="F1257" s="155" t="str">
        <f>_xlfn.XLOOKUP(B1257,STUDIES!$A$3:$A$1063,STUDIES!$G$3:$G$1063,"Not Found!")</f>
        <v>A</v>
      </c>
      <c r="G1257" s="273" t="s">
        <v>147</v>
      </c>
      <c r="H1257" s="273">
        <v>16</v>
      </c>
      <c r="I1257" s="273">
        <v>49</v>
      </c>
      <c r="J1257" s="274">
        <v>18</v>
      </c>
    </row>
    <row r="1258" spans="1:10" ht="18" customHeight="1" x14ac:dyDescent="0.35">
      <c r="A1258" s="274">
        <f>MATCH(B1258,STUDIES!$A$3:$A$502,0)</f>
        <v>13</v>
      </c>
      <c r="B1258" s="272" t="s">
        <v>901</v>
      </c>
      <c r="D1258" s="281" t="s">
        <v>1043</v>
      </c>
      <c r="E1258" s="272" t="s">
        <v>1243</v>
      </c>
      <c r="F1258" s="155" t="str">
        <f>_xlfn.XLOOKUP(B1258,STUDIES!$A$3:$A$1063,STUDIES!$G$3:$G$1063,"Not Found!")</f>
        <v>A</v>
      </c>
      <c r="G1258" s="273" t="s">
        <v>147</v>
      </c>
      <c r="H1258" s="273">
        <v>16</v>
      </c>
      <c r="I1258" s="273">
        <v>37</v>
      </c>
      <c r="J1258" s="274">
        <v>11</v>
      </c>
    </row>
    <row r="1259" spans="1:10" ht="18" customHeight="1" x14ac:dyDescent="0.35">
      <c r="A1259" s="274">
        <f>MATCH(B1259,STUDIES!$A$3:$A$502,0)</f>
        <v>13</v>
      </c>
      <c r="B1259" s="272" t="s">
        <v>901</v>
      </c>
      <c r="D1259" s="281" t="s">
        <v>1044</v>
      </c>
      <c r="E1259" s="272" t="s">
        <v>1243</v>
      </c>
      <c r="F1259" s="155" t="str">
        <f>_xlfn.XLOOKUP(B1259,STUDIES!$A$3:$A$1063,STUDIES!$G$3:$G$1063,"Not Found!")</f>
        <v>A</v>
      </c>
      <c r="G1259" s="273" t="s">
        <v>147</v>
      </c>
      <c r="H1259" s="273">
        <v>16</v>
      </c>
      <c r="I1259" s="273">
        <v>38</v>
      </c>
      <c r="J1259" s="274">
        <v>13</v>
      </c>
    </row>
    <row r="1260" spans="1:10" ht="18" customHeight="1" x14ac:dyDescent="0.35">
      <c r="A1260" s="274">
        <f>MATCH(B1260,STUDIES!$A$3:$A$502,0)</f>
        <v>13</v>
      </c>
      <c r="B1260" s="272" t="s">
        <v>901</v>
      </c>
      <c r="D1260" s="281" t="s">
        <v>148</v>
      </c>
      <c r="E1260" s="272" t="s">
        <v>1243</v>
      </c>
      <c r="F1260" s="155" t="str">
        <f>_xlfn.XLOOKUP(B1260,STUDIES!$A$3:$A$1063,STUDIES!$G$3:$G$1063,"Not Found!")</f>
        <v>A</v>
      </c>
      <c r="G1260" s="273" t="s">
        <v>147</v>
      </c>
      <c r="H1260" s="273">
        <v>16</v>
      </c>
      <c r="I1260" s="273">
        <v>49</v>
      </c>
      <c r="J1260" s="274">
        <v>10</v>
      </c>
    </row>
    <row r="1261" spans="1:10" ht="18" customHeight="1" x14ac:dyDescent="0.35">
      <c r="A1261" s="274">
        <f>MATCH(B1261,STUDIES!$A$3:$A$502,0)</f>
        <v>13</v>
      </c>
      <c r="B1261" s="272" t="s">
        <v>901</v>
      </c>
      <c r="D1261" s="281" t="s">
        <v>1043</v>
      </c>
      <c r="E1261" s="272" t="s">
        <v>1244</v>
      </c>
      <c r="F1261" s="155" t="str">
        <f>_xlfn.XLOOKUP(B1261,STUDIES!$A$3:$A$1063,STUDIES!$G$3:$G$1063,"Not Found!")</f>
        <v>A</v>
      </c>
      <c r="G1261" s="273" t="s">
        <v>147</v>
      </c>
      <c r="H1261" s="273">
        <v>16</v>
      </c>
      <c r="I1261" s="273">
        <v>37</v>
      </c>
      <c r="J1261" s="274">
        <v>7</v>
      </c>
    </row>
    <row r="1262" spans="1:10" ht="18" customHeight="1" x14ac:dyDescent="0.35">
      <c r="A1262" s="274">
        <f>MATCH(B1262,STUDIES!$A$3:$A$502,0)</f>
        <v>13</v>
      </c>
      <c r="B1262" s="272" t="s">
        <v>901</v>
      </c>
      <c r="D1262" s="281" t="s">
        <v>1044</v>
      </c>
      <c r="E1262" s="272" t="s">
        <v>1244</v>
      </c>
      <c r="F1262" s="155" t="str">
        <f>_xlfn.XLOOKUP(B1262,STUDIES!$A$3:$A$1063,STUDIES!$G$3:$G$1063,"Not Found!")</f>
        <v>A</v>
      </c>
      <c r="G1262" s="273" t="s">
        <v>147</v>
      </c>
      <c r="H1262" s="273">
        <v>16</v>
      </c>
      <c r="I1262" s="273">
        <v>38</v>
      </c>
      <c r="J1262" s="274">
        <v>8</v>
      </c>
    </row>
    <row r="1263" spans="1:10" ht="18" customHeight="1" x14ac:dyDescent="0.35">
      <c r="A1263" s="274">
        <f>MATCH(B1263,STUDIES!$A$3:$A$502,0)</f>
        <v>13</v>
      </c>
      <c r="B1263" s="272" t="s">
        <v>901</v>
      </c>
      <c r="D1263" s="281" t="s">
        <v>148</v>
      </c>
      <c r="E1263" s="272" t="s">
        <v>1244</v>
      </c>
      <c r="F1263" s="155" t="str">
        <f>_xlfn.XLOOKUP(B1263,STUDIES!$A$3:$A$1063,STUDIES!$G$3:$G$1063,"Not Found!")</f>
        <v>A</v>
      </c>
      <c r="G1263" s="273" t="s">
        <v>147</v>
      </c>
      <c r="H1263" s="273">
        <v>16</v>
      </c>
      <c r="I1263" s="273">
        <v>49</v>
      </c>
      <c r="J1263" s="274">
        <v>3</v>
      </c>
    </row>
    <row r="1264" spans="1:10" ht="18" customHeight="1" x14ac:dyDescent="0.35">
      <c r="A1264" s="274">
        <f>MATCH(B1264,STUDIES!$A$3:$A$502,0)</f>
        <v>13</v>
      </c>
      <c r="B1264" s="272" t="s">
        <v>901</v>
      </c>
      <c r="D1264" s="281" t="s">
        <v>1043</v>
      </c>
      <c r="E1264" s="272" t="s">
        <v>1268</v>
      </c>
      <c r="F1264" s="155" t="str">
        <f>_xlfn.XLOOKUP(B1264,STUDIES!$A$3:$A$1063,STUDIES!$G$3:$G$1063,"Not Found!")</f>
        <v>A</v>
      </c>
      <c r="G1264" s="273" t="s">
        <v>147</v>
      </c>
      <c r="H1264" s="273">
        <v>16</v>
      </c>
      <c r="I1264" s="273">
        <v>37</v>
      </c>
      <c r="J1264" s="274">
        <v>8</v>
      </c>
    </row>
    <row r="1265" spans="1:10" ht="18" customHeight="1" x14ac:dyDescent="0.35">
      <c r="A1265" s="274">
        <f>MATCH(B1265,STUDIES!$A$3:$A$502,0)</f>
        <v>13</v>
      </c>
      <c r="B1265" s="272" t="s">
        <v>901</v>
      </c>
      <c r="D1265" s="281" t="s">
        <v>1044</v>
      </c>
      <c r="E1265" s="272" t="s">
        <v>1268</v>
      </c>
      <c r="F1265" s="155" t="str">
        <f>_xlfn.XLOOKUP(B1265,STUDIES!$A$3:$A$1063,STUDIES!$G$3:$G$1063,"Not Found!")</f>
        <v>A</v>
      </c>
      <c r="G1265" s="273" t="s">
        <v>147</v>
      </c>
      <c r="H1265" s="273">
        <v>16</v>
      </c>
      <c r="I1265" s="273">
        <v>38</v>
      </c>
      <c r="J1265" s="274">
        <v>8</v>
      </c>
    </row>
    <row r="1266" spans="1:10" ht="18" customHeight="1" x14ac:dyDescent="0.35">
      <c r="A1266" s="274">
        <f>MATCH(B1266,STUDIES!$A$3:$A$502,0)</f>
        <v>13</v>
      </c>
      <c r="B1266" s="272" t="s">
        <v>901</v>
      </c>
      <c r="D1266" s="281" t="s">
        <v>148</v>
      </c>
      <c r="E1266" s="272" t="s">
        <v>1268</v>
      </c>
      <c r="F1266" s="155" t="str">
        <f>_xlfn.XLOOKUP(B1266,STUDIES!$A$3:$A$1063,STUDIES!$G$3:$G$1063,"Not Found!")</f>
        <v>A</v>
      </c>
      <c r="G1266" s="273" t="s">
        <v>147</v>
      </c>
      <c r="H1266" s="273">
        <v>16</v>
      </c>
      <c r="I1266" s="273">
        <v>49</v>
      </c>
      <c r="J1266" s="274">
        <v>4</v>
      </c>
    </row>
    <row r="1267" spans="1:10" ht="18" customHeight="1" x14ac:dyDescent="0.35">
      <c r="A1267" s="274">
        <f>MATCH(B1267,STUDIES!$A$3:$A$502,0)</f>
        <v>14</v>
      </c>
      <c r="B1267" s="272" t="s">
        <v>411</v>
      </c>
      <c r="D1267" s="281" t="s">
        <v>1061</v>
      </c>
      <c r="E1267" s="272" t="s">
        <v>1268</v>
      </c>
      <c r="F1267" s="155" t="str">
        <f>_xlfn.XLOOKUP(B1267,STUDIES!$A$3:$A$1063,STUDIES!$G$3:$G$1063,"Not Found!")</f>
        <v>A</v>
      </c>
      <c r="G1267" s="273" t="s">
        <v>147</v>
      </c>
      <c r="H1267" s="273">
        <v>12</v>
      </c>
      <c r="I1267" s="273">
        <v>40</v>
      </c>
      <c r="J1267" s="274">
        <v>6</v>
      </c>
    </row>
    <row r="1268" spans="1:10" ht="18" customHeight="1" x14ac:dyDescent="0.35">
      <c r="A1268" s="274">
        <f>MATCH(B1268,STUDIES!$A$3:$A$502,0)</f>
        <v>14</v>
      </c>
      <c r="B1268" s="272" t="s">
        <v>411</v>
      </c>
      <c r="D1268" s="281" t="s">
        <v>148</v>
      </c>
      <c r="E1268" s="272" t="s">
        <v>1268</v>
      </c>
      <c r="F1268" s="155" t="str">
        <f>_xlfn.XLOOKUP(B1268,STUDIES!$A$3:$A$1063,STUDIES!$G$3:$G$1063,"Not Found!")</f>
        <v>A</v>
      </c>
      <c r="G1268" s="273" t="s">
        <v>147</v>
      </c>
      <c r="H1268" s="273">
        <v>12</v>
      </c>
      <c r="I1268" s="273">
        <v>20</v>
      </c>
      <c r="J1268" s="274">
        <v>1</v>
      </c>
    </row>
    <row r="1269" spans="1:10" ht="18" customHeight="1" x14ac:dyDescent="0.35">
      <c r="A1269" s="274">
        <f>MATCH(B1269,STUDIES!$A$3:$A$502,0)</f>
        <v>15</v>
      </c>
      <c r="B1269" s="272" t="s">
        <v>354</v>
      </c>
      <c r="D1269" s="281" t="s">
        <v>1055</v>
      </c>
      <c r="E1269" s="272" t="s">
        <v>1258</v>
      </c>
      <c r="F1269" s="155" t="str">
        <f>_xlfn.XLOOKUP(B1269,STUDIES!$A$3:$A$1063,STUDIES!$G$3:$G$1063,"Not Found!")</f>
        <v>A</v>
      </c>
      <c r="G1269" s="273" t="s">
        <v>147</v>
      </c>
      <c r="H1269" s="273">
        <v>16</v>
      </c>
      <c r="I1269" s="273">
        <v>27</v>
      </c>
      <c r="J1269" s="274">
        <v>21</v>
      </c>
    </row>
    <row r="1270" spans="1:10" ht="18" customHeight="1" x14ac:dyDescent="0.35">
      <c r="A1270" s="274">
        <f>MATCH(B1270,STUDIES!$A$3:$A$502,0)</f>
        <v>15</v>
      </c>
      <c r="B1270" s="272" t="s">
        <v>354</v>
      </c>
      <c r="D1270" s="281" t="s">
        <v>148</v>
      </c>
      <c r="E1270" s="272" t="s">
        <v>1258</v>
      </c>
      <c r="F1270" s="155" t="str">
        <f>_xlfn.XLOOKUP(B1270,STUDIES!$A$3:$A$1063,STUDIES!$G$3:$G$1063,"Not Found!")</f>
        <v>A</v>
      </c>
      <c r="G1270" s="273" t="s">
        <v>147</v>
      </c>
      <c r="H1270" s="273">
        <v>16</v>
      </c>
      <c r="I1270" s="273">
        <v>27</v>
      </c>
      <c r="J1270" s="274">
        <v>6</v>
      </c>
    </row>
    <row r="1271" spans="1:10" ht="18" customHeight="1" x14ac:dyDescent="0.35">
      <c r="A1271" s="274">
        <f>MATCH(B1271,STUDIES!$A$3:$A$502,0)</f>
        <v>15</v>
      </c>
      <c r="B1271" s="272" t="s">
        <v>354</v>
      </c>
      <c r="D1271" s="281" t="s">
        <v>1055</v>
      </c>
      <c r="E1271" s="272" t="s">
        <v>1243</v>
      </c>
      <c r="F1271" s="155" t="str">
        <f>_xlfn.XLOOKUP(B1271,STUDIES!$A$3:$A$1063,STUDIES!$G$3:$G$1063,"Not Found!")</f>
        <v>A</v>
      </c>
      <c r="G1271" s="273" t="s">
        <v>147</v>
      </c>
      <c r="H1271" s="273">
        <v>16</v>
      </c>
      <c r="I1271" s="273">
        <v>27</v>
      </c>
      <c r="J1271" s="274">
        <v>18</v>
      </c>
    </row>
    <row r="1272" spans="1:10" ht="18" customHeight="1" x14ac:dyDescent="0.35">
      <c r="A1272" s="274">
        <f>MATCH(B1272,STUDIES!$A$3:$A$502,0)</f>
        <v>15</v>
      </c>
      <c r="B1272" s="272" t="s">
        <v>354</v>
      </c>
      <c r="D1272" s="281" t="s">
        <v>148</v>
      </c>
      <c r="E1272" s="272" t="s">
        <v>1243</v>
      </c>
      <c r="F1272" s="155" t="str">
        <f>_xlfn.XLOOKUP(B1272,STUDIES!$A$3:$A$1063,STUDIES!$G$3:$G$1063,"Not Found!")</f>
        <v>A</v>
      </c>
      <c r="G1272" s="273" t="s">
        <v>147</v>
      </c>
      <c r="H1272" s="273">
        <v>16</v>
      </c>
      <c r="I1272" s="273">
        <v>27</v>
      </c>
      <c r="J1272" s="274">
        <v>4</v>
      </c>
    </row>
    <row r="1273" spans="1:10" ht="18" customHeight="1" x14ac:dyDescent="0.35">
      <c r="A1273" s="274">
        <f>MATCH(B1273,STUDIES!$A$3:$A$502,0)</f>
        <v>15</v>
      </c>
      <c r="B1273" s="272" t="s">
        <v>354</v>
      </c>
      <c r="D1273" s="281" t="s">
        <v>1055</v>
      </c>
      <c r="E1273" s="272" t="s">
        <v>1244</v>
      </c>
      <c r="F1273" s="155" t="str">
        <f>_xlfn.XLOOKUP(B1273,STUDIES!$A$3:$A$1063,STUDIES!$G$3:$G$1063,"Not Found!")</f>
        <v>A</v>
      </c>
      <c r="G1273" s="273" t="s">
        <v>147</v>
      </c>
      <c r="H1273" s="273">
        <v>16</v>
      </c>
      <c r="I1273" s="273">
        <v>27</v>
      </c>
      <c r="J1273" s="274">
        <v>9</v>
      </c>
    </row>
    <row r="1274" spans="1:10" ht="18" customHeight="1" x14ac:dyDescent="0.35">
      <c r="A1274" s="274">
        <f>MATCH(B1274,STUDIES!$A$3:$A$502,0)</f>
        <v>15</v>
      </c>
      <c r="B1274" s="272" t="s">
        <v>354</v>
      </c>
      <c r="D1274" s="281" t="s">
        <v>148</v>
      </c>
      <c r="E1274" s="272" t="s">
        <v>1244</v>
      </c>
      <c r="F1274" s="155" t="str">
        <f>_xlfn.XLOOKUP(B1274,STUDIES!$A$3:$A$1063,STUDIES!$G$3:$G$1063,"Not Found!")</f>
        <v>A</v>
      </c>
      <c r="G1274" s="273" t="s">
        <v>147</v>
      </c>
      <c r="H1274" s="273">
        <v>16</v>
      </c>
      <c r="I1274" s="273">
        <v>27</v>
      </c>
      <c r="J1274" s="274">
        <v>0</v>
      </c>
    </row>
    <row r="1275" spans="1:10" ht="18" customHeight="1" x14ac:dyDescent="0.35">
      <c r="A1275" s="274">
        <f>MATCH(B1275,STUDIES!$A$3:$A$502,0)</f>
        <v>15</v>
      </c>
      <c r="B1275" s="272" t="s">
        <v>354</v>
      </c>
      <c r="D1275" s="281" t="s">
        <v>1055</v>
      </c>
      <c r="E1275" s="272" t="s">
        <v>1268</v>
      </c>
      <c r="F1275" s="155" t="str">
        <f>_xlfn.XLOOKUP(B1275,STUDIES!$A$3:$A$1063,STUDIES!$G$3:$G$1063,"Not Found!")</f>
        <v>A</v>
      </c>
      <c r="G1275" s="273" t="s">
        <v>147</v>
      </c>
      <c r="H1275" s="273">
        <v>16</v>
      </c>
      <c r="I1275" s="273">
        <v>27</v>
      </c>
      <c r="J1275" s="274">
        <v>10</v>
      </c>
    </row>
    <row r="1276" spans="1:10" ht="18" customHeight="1" x14ac:dyDescent="0.35">
      <c r="A1276" s="274">
        <f>MATCH(B1276,STUDIES!$A$3:$A$502,0)</f>
        <v>15</v>
      </c>
      <c r="B1276" s="272" t="s">
        <v>354</v>
      </c>
      <c r="D1276" s="281" t="s">
        <v>148</v>
      </c>
      <c r="E1276" s="272" t="s">
        <v>1268</v>
      </c>
      <c r="F1276" s="155" t="str">
        <f>_xlfn.XLOOKUP(B1276,STUDIES!$A$3:$A$1063,STUDIES!$G$3:$G$1063,"Not Found!")</f>
        <v>A</v>
      </c>
      <c r="G1276" s="273" t="s">
        <v>147</v>
      </c>
      <c r="H1276" s="273">
        <v>16</v>
      </c>
      <c r="I1276" s="273">
        <v>27</v>
      </c>
      <c r="J1276" s="274">
        <v>0</v>
      </c>
    </row>
    <row r="1277" spans="1:10" ht="18" customHeight="1" x14ac:dyDescent="0.35">
      <c r="A1277" s="274">
        <f>MATCH(B1277,STUDIES!$A$3:$A$502,0)</f>
        <v>16</v>
      </c>
      <c r="B1277" s="272" t="s">
        <v>353</v>
      </c>
      <c r="D1277" s="281" t="s">
        <v>1062</v>
      </c>
      <c r="E1277" s="272" t="s">
        <v>1258</v>
      </c>
      <c r="F1277" s="155" t="str">
        <f>_xlfn.XLOOKUP(B1277,STUDIES!$A$3:$A$1063,STUDIES!$G$3:$G$1063,"Not Found!")</f>
        <v>A</v>
      </c>
      <c r="G1277" s="273" t="s">
        <v>147</v>
      </c>
      <c r="H1277" s="273">
        <v>10</v>
      </c>
      <c r="I1277" s="273">
        <v>26</v>
      </c>
      <c r="J1277" s="274">
        <v>20</v>
      </c>
    </row>
    <row r="1278" spans="1:10" ht="18" customHeight="1" x14ac:dyDescent="0.35">
      <c r="A1278" s="274">
        <f>MATCH(B1278,STUDIES!$A$3:$A$502,0)</f>
        <v>16</v>
      </c>
      <c r="B1278" s="272" t="s">
        <v>353</v>
      </c>
      <c r="D1278" s="281" t="s">
        <v>148</v>
      </c>
      <c r="E1278" s="272" t="s">
        <v>1258</v>
      </c>
      <c r="F1278" s="155" t="str">
        <f>_xlfn.XLOOKUP(B1278,STUDIES!$A$3:$A$1063,STUDIES!$G$3:$G$1063,"Not Found!")</f>
        <v>A</v>
      </c>
      <c r="G1278" s="273" t="s">
        <v>147</v>
      </c>
      <c r="H1278" s="273">
        <v>10</v>
      </c>
      <c r="I1278" s="273">
        <v>8</v>
      </c>
      <c r="J1278" s="274">
        <v>3</v>
      </c>
    </row>
    <row r="1279" spans="1:10" ht="18" customHeight="1" x14ac:dyDescent="0.35">
      <c r="A1279" s="274">
        <f>MATCH(B1279,STUDIES!$A$3:$A$502,0)</f>
        <v>16</v>
      </c>
      <c r="B1279" s="272" t="s">
        <v>353</v>
      </c>
      <c r="D1279" s="281" t="s">
        <v>1062</v>
      </c>
      <c r="E1279" s="272" t="s">
        <v>1243</v>
      </c>
      <c r="F1279" s="155" t="str">
        <f>_xlfn.XLOOKUP(B1279,STUDIES!$A$3:$A$1063,STUDIES!$G$3:$G$1063,"Not Found!")</f>
        <v>A</v>
      </c>
      <c r="G1279" s="273" t="s">
        <v>147</v>
      </c>
      <c r="H1279" s="273">
        <v>10</v>
      </c>
      <c r="I1279" s="273">
        <v>26</v>
      </c>
      <c r="J1279" s="274">
        <v>11</v>
      </c>
    </row>
    <row r="1280" spans="1:10" ht="18" customHeight="1" x14ac:dyDescent="0.35">
      <c r="A1280" s="274">
        <f>MATCH(B1280,STUDIES!$A$3:$A$502,0)</f>
        <v>16</v>
      </c>
      <c r="B1280" s="272" t="s">
        <v>353</v>
      </c>
      <c r="D1280" s="281" t="s">
        <v>148</v>
      </c>
      <c r="E1280" s="272" t="s">
        <v>1243</v>
      </c>
      <c r="F1280" s="155" t="str">
        <f>_xlfn.XLOOKUP(B1280,STUDIES!$A$3:$A$1063,STUDIES!$G$3:$G$1063,"Not Found!")</f>
        <v>A</v>
      </c>
      <c r="G1280" s="273" t="s">
        <v>147</v>
      </c>
      <c r="H1280" s="273">
        <v>10</v>
      </c>
      <c r="I1280" s="273">
        <v>8</v>
      </c>
      <c r="J1280" s="274">
        <v>2</v>
      </c>
    </row>
    <row r="1281" spans="1:10" ht="18" customHeight="1" x14ac:dyDescent="0.35">
      <c r="A1281" s="274">
        <f>MATCH(B1281,STUDIES!$A$3:$A$502,0)</f>
        <v>16</v>
      </c>
      <c r="B1281" s="272" t="s">
        <v>353</v>
      </c>
      <c r="D1281" s="281" t="s">
        <v>1062</v>
      </c>
      <c r="E1281" s="272" t="s">
        <v>1268</v>
      </c>
      <c r="F1281" s="155" t="str">
        <f>_xlfn.XLOOKUP(B1281,STUDIES!$A$3:$A$1063,STUDIES!$G$3:$G$1063,"Not Found!")</f>
        <v>A</v>
      </c>
      <c r="G1281" s="273" t="s">
        <v>147</v>
      </c>
      <c r="H1281" s="273">
        <v>10</v>
      </c>
      <c r="I1281" s="273">
        <v>26</v>
      </c>
      <c r="J1281" s="274">
        <v>6</v>
      </c>
    </row>
    <row r="1282" spans="1:10" ht="18" customHeight="1" x14ac:dyDescent="0.35">
      <c r="A1282" s="274">
        <f>MATCH(B1282,STUDIES!$A$3:$A$502,0)</f>
        <v>16</v>
      </c>
      <c r="B1282" s="272" t="s">
        <v>353</v>
      </c>
      <c r="D1282" s="281" t="s">
        <v>148</v>
      </c>
      <c r="E1282" s="272" t="s">
        <v>1268</v>
      </c>
      <c r="F1282" s="155" t="str">
        <f>_xlfn.XLOOKUP(B1282,STUDIES!$A$3:$A$1063,STUDIES!$G$3:$G$1063,"Not Found!")</f>
        <v>A</v>
      </c>
      <c r="G1282" s="273" t="s">
        <v>147</v>
      </c>
      <c r="H1282" s="273">
        <v>10</v>
      </c>
      <c r="I1282" s="273">
        <v>8</v>
      </c>
      <c r="J1282" s="274">
        <v>1</v>
      </c>
    </row>
    <row r="1283" spans="1:10" ht="18" customHeight="1" x14ac:dyDescent="0.35">
      <c r="A1283" s="274">
        <f>MATCH(B1283,STUDIES!$A$3:$A$502,0)</f>
        <v>17</v>
      </c>
      <c r="B1283" s="272" t="s">
        <v>784</v>
      </c>
      <c r="D1283" s="281" t="s">
        <v>148</v>
      </c>
      <c r="E1283" s="272" t="s">
        <v>1258</v>
      </c>
      <c r="F1283" s="155" t="str">
        <f>_xlfn.XLOOKUP(B1283,STUDIES!$A$3:$A$1063,STUDIES!$G$3:$G$1063,"Not Found!")</f>
        <v>A</v>
      </c>
      <c r="G1283" s="273" t="s">
        <v>147</v>
      </c>
      <c r="H1283" s="273">
        <v>16</v>
      </c>
      <c r="I1283" s="273">
        <v>41</v>
      </c>
      <c r="J1283" s="274">
        <v>9</v>
      </c>
    </row>
    <row r="1284" spans="1:10" ht="18" customHeight="1" x14ac:dyDescent="0.35">
      <c r="A1284" s="274">
        <f>MATCH(B1284,STUDIES!$A$3:$A$502,0)</f>
        <v>17</v>
      </c>
      <c r="B1284" s="272" t="s">
        <v>784</v>
      </c>
      <c r="D1284" s="281" t="s">
        <v>1098</v>
      </c>
      <c r="E1284" s="272" t="s">
        <v>1258</v>
      </c>
      <c r="F1284" s="155" t="str">
        <f>_xlfn.XLOOKUP(B1284,STUDIES!$A$3:$A$1063,STUDIES!$G$3:$G$1063,"Not Found!")</f>
        <v>A</v>
      </c>
      <c r="G1284" s="273" t="s">
        <v>147</v>
      </c>
      <c r="H1284" s="273">
        <v>16</v>
      </c>
      <c r="I1284" s="273">
        <v>42</v>
      </c>
      <c r="J1284" s="274">
        <v>30</v>
      </c>
    </row>
    <row r="1285" spans="1:10" ht="18" customHeight="1" x14ac:dyDescent="0.35">
      <c r="A1285" s="274">
        <f>MATCH(B1285,STUDIES!$A$3:$A$502,0)</f>
        <v>17</v>
      </c>
      <c r="B1285" s="272" t="s">
        <v>784</v>
      </c>
      <c r="D1285" s="281" t="s">
        <v>1099</v>
      </c>
      <c r="E1285" s="272" t="s">
        <v>1258</v>
      </c>
      <c r="F1285" s="155" t="str">
        <f>_xlfn.XLOOKUP(B1285,STUDIES!$A$3:$A$1063,STUDIES!$G$3:$G$1063,"Not Found!")</f>
        <v>A</v>
      </c>
      <c r="G1285" s="273" t="s">
        <v>147</v>
      </c>
      <c r="H1285" s="273">
        <v>16</v>
      </c>
      <c r="I1285" s="273">
        <v>42</v>
      </c>
      <c r="J1285" s="274">
        <v>35</v>
      </c>
    </row>
    <row r="1286" spans="1:10" ht="18" customHeight="1" x14ac:dyDescent="0.35">
      <c r="A1286" s="274">
        <f>MATCH(B1286,STUDIES!$A$3:$A$502,0)</f>
        <v>17</v>
      </c>
      <c r="B1286" s="272" t="s">
        <v>784</v>
      </c>
      <c r="D1286" s="281" t="s">
        <v>1100</v>
      </c>
      <c r="E1286" s="272" t="s">
        <v>1258</v>
      </c>
      <c r="F1286" s="155" t="str">
        <f>_xlfn.XLOOKUP(B1286,STUDIES!$A$3:$A$1063,STUDIES!$G$3:$G$1063,"Not Found!")</f>
        <v>A</v>
      </c>
      <c r="G1286" s="273" t="s">
        <v>147</v>
      </c>
      <c r="H1286" s="273">
        <v>16</v>
      </c>
      <c r="I1286" s="273">
        <v>42</v>
      </c>
      <c r="J1286" s="274">
        <v>21</v>
      </c>
    </row>
    <row r="1287" spans="1:10" ht="18" customHeight="1" x14ac:dyDescent="0.35">
      <c r="A1287" s="274">
        <f>MATCH(B1287,STUDIES!$A$3:$A$502,0)</f>
        <v>17</v>
      </c>
      <c r="B1287" s="272" t="s">
        <v>784</v>
      </c>
      <c r="D1287" s="281" t="s">
        <v>148</v>
      </c>
      <c r="E1287" s="272" t="s">
        <v>1243</v>
      </c>
      <c r="F1287" s="155" t="str">
        <f>_xlfn.XLOOKUP(B1287,STUDIES!$A$3:$A$1063,STUDIES!$G$3:$G$1063,"Not Found!")</f>
        <v>A</v>
      </c>
      <c r="G1287" s="273" t="s">
        <v>147</v>
      </c>
      <c r="H1287" s="273">
        <v>16</v>
      </c>
      <c r="I1287" s="273">
        <v>41</v>
      </c>
      <c r="J1287" s="274">
        <v>4</v>
      </c>
    </row>
    <row r="1288" spans="1:10" ht="18" customHeight="1" x14ac:dyDescent="0.35">
      <c r="A1288" s="274">
        <f>MATCH(B1288,STUDIES!$A$3:$A$502,0)</f>
        <v>17</v>
      </c>
      <c r="B1288" s="272" t="s">
        <v>784</v>
      </c>
      <c r="D1288" s="281" t="s">
        <v>1098</v>
      </c>
      <c r="E1288" s="272" t="s">
        <v>1243</v>
      </c>
      <c r="F1288" s="155" t="str">
        <f>_xlfn.XLOOKUP(B1288,STUDIES!$A$3:$A$1063,STUDIES!$G$3:$G$1063,"Not Found!")</f>
        <v>A</v>
      </c>
      <c r="G1288" s="273" t="s">
        <v>147</v>
      </c>
      <c r="H1288" s="273">
        <v>16</v>
      </c>
      <c r="I1288" s="273">
        <v>42</v>
      </c>
      <c r="J1288" s="274">
        <v>22</v>
      </c>
    </row>
    <row r="1289" spans="1:10" ht="18" customHeight="1" x14ac:dyDescent="0.35">
      <c r="A1289" s="274">
        <f>MATCH(B1289,STUDIES!$A$3:$A$502,0)</f>
        <v>17</v>
      </c>
      <c r="B1289" s="272" t="s">
        <v>784</v>
      </c>
      <c r="D1289" s="281" t="s">
        <v>1099</v>
      </c>
      <c r="E1289" s="272" t="s">
        <v>1243</v>
      </c>
      <c r="F1289" s="155" t="str">
        <f>_xlfn.XLOOKUP(B1289,STUDIES!$A$3:$A$1063,STUDIES!$G$3:$G$1063,"Not Found!")</f>
        <v>A</v>
      </c>
      <c r="G1289" s="273" t="s">
        <v>147</v>
      </c>
      <c r="H1289" s="273">
        <v>16</v>
      </c>
      <c r="I1289" s="273">
        <v>42</v>
      </c>
      <c r="J1289" s="274">
        <v>29</v>
      </c>
    </row>
    <row r="1290" spans="1:10" ht="18" customHeight="1" x14ac:dyDescent="0.35">
      <c r="A1290" s="274">
        <f>MATCH(B1290,STUDIES!$A$3:$A$502,0)</f>
        <v>17</v>
      </c>
      <c r="B1290" s="272" t="s">
        <v>784</v>
      </c>
      <c r="D1290" s="281" t="s">
        <v>1100</v>
      </c>
      <c r="E1290" s="272" t="s">
        <v>1243</v>
      </c>
      <c r="F1290" s="155" t="str">
        <f>_xlfn.XLOOKUP(B1290,STUDIES!$A$3:$A$1063,STUDIES!$G$3:$G$1063,"Not Found!")</f>
        <v>A</v>
      </c>
      <c r="G1290" s="273" t="s">
        <v>147</v>
      </c>
      <c r="H1290" s="273">
        <v>16</v>
      </c>
      <c r="I1290" s="273">
        <v>42</v>
      </c>
      <c r="J1290" s="274">
        <v>12</v>
      </c>
    </row>
    <row r="1291" spans="1:10" ht="18" customHeight="1" x14ac:dyDescent="0.35">
      <c r="A1291" s="274">
        <f>MATCH(B1291,STUDIES!$A$3:$A$502,0)</f>
        <v>17</v>
      </c>
      <c r="B1291" s="272" t="s">
        <v>784</v>
      </c>
      <c r="D1291" s="281" t="s">
        <v>148</v>
      </c>
      <c r="E1291" s="272" t="s">
        <v>1244</v>
      </c>
      <c r="F1291" s="155" t="str">
        <f>_xlfn.XLOOKUP(B1291,STUDIES!$A$3:$A$1063,STUDIES!$G$3:$G$1063,"Not Found!")</f>
        <v>A</v>
      </c>
      <c r="G1291" s="273" t="s">
        <v>147</v>
      </c>
      <c r="H1291" s="273">
        <v>16</v>
      </c>
      <c r="I1291" s="273">
        <v>41</v>
      </c>
      <c r="J1291" s="274">
        <v>1</v>
      </c>
    </row>
    <row r="1292" spans="1:10" ht="18" customHeight="1" x14ac:dyDescent="0.35">
      <c r="A1292" s="274">
        <f>MATCH(B1292,STUDIES!$A$3:$A$502,0)</f>
        <v>17</v>
      </c>
      <c r="B1292" s="272" t="s">
        <v>784</v>
      </c>
      <c r="D1292" s="281" t="s">
        <v>1098</v>
      </c>
      <c r="E1292" s="272" t="s">
        <v>1244</v>
      </c>
      <c r="F1292" s="155" t="str">
        <f>_xlfn.XLOOKUP(B1292,STUDIES!$A$3:$A$1063,STUDIES!$G$3:$G$1063,"Not Found!")</f>
        <v>A</v>
      </c>
      <c r="G1292" s="273" t="s">
        <v>147</v>
      </c>
      <c r="H1292" s="273">
        <v>16</v>
      </c>
      <c r="I1292" s="273">
        <v>42</v>
      </c>
      <c r="J1292" s="274">
        <v>11</v>
      </c>
    </row>
    <row r="1293" spans="1:10" ht="18" customHeight="1" x14ac:dyDescent="0.35">
      <c r="A1293" s="274">
        <f>MATCH(B1293,STUDIES!$A$3:$A$502,0)</f>
        <v>17</v>
      </c>
      <c r="B1293" s="272" t="s">
        <v>784</v>
      </c>
      <c r="D1293" s="281" t="s">
        <v>1099</v>
      </c>
      <c r="E1293" s="272" t="s">
        <v>1244</v>
      </c>
      <c r="F1293" s="155" t="str">
        <f>_xlfn.XLOOKUP(B1293,STUDIES!$A$3:$A$1063,STUDIES!$G$3:$G$1063,"Not Found!")</f>
        <v>A</v>
      </c>
      <c r="G1293" s="273" t="s">
        <v>147</v>
      </c>
      <c r="H1293" s="273">
        <v>16</v>
      </c>
      <c r="I1293" s="273">
        <v>42</v>
      </c>
      <c r="J1293" s="274">
        <v>21</v>
      </c>
    </row>
    <row r="1294" spans="1:10" ht="18" customHeight="1" x14ac:dyDescent="0.35">
      <c r="A1294" s="274">
        <f>MATCH(B1294,STUDIES!$A$3:$A$502,0)</f>
        <v>17</v>
      </c>
      <c r="B1294" s="272" t="s">
        <v>784</v>
      </c>
      <c r="D1294" s="281" t="s">
        <v>1100</v>
      </c>
      <c r="E1294" s="272" t="s">
        <v>1244</v>
      </c>
      <c r="F1294" s="155" t="str">
        <f>_xlfn.XLOOKUP(B1294,STUDIES!$A$3:$A$1063,STUDIES!$G$3:$G$1063,"Not Found!")</f>
        <v>A</v>
      </c>
      <c r="G1294" s="273" t="s">
        <v>147</v>
      </c>
      <c r="H1294" s="273">
        <v>16</v>
      </c>
      <c r="I1294" s="273">
        <v>42</v>
      </c>
      <c r="J1294" s="274">
        <v>6</v>
      </c>
    </row>
    <row r="1295" spans="1:10" ht="18" customHeight="1" x14ac:dyDescent="0.35">
      <c r="A1295" s="274">
        <f>MATCH(B1295,STUDIES!$A$3:$A$502,0)</f>
        <v>17</v>
      </c>
      <c r="B1295" s="272" t="s">
        <v>784</v>
      </c>
      <c r="D1295" s="281" t="s">
        <v>148</v>
      </c>
      <c r="E1295" s="272" t="s">
        <v>1268</v>
      </c>
      <c r="F1295" s="155" t="str">
        <f>_xlfn.XLOOKUP(B1295,STUDIES!$A$3:$A$1063,STUDIES!$G$3:$G$1063,"Not Found!")</f>
        <v>A</v>
      </c>
      <c r="G1295" s="273" t="s">
        <v>147</v>
      </c>
      <c r="H1295" s="273">
        <v>16</v>
      </c>
      <c r="I1295" s="273">
        <v>41</v>
      </c>
      <c r="J1295" s="274">
        <v>1</v>
      </c>
    </row>
    <row r="1296" spans="1:10" ht="18" customHeight="1" x14ac:dyDescent="0.35">
      <c r="A1296" s="274">
        <f>MATCH(B1296,STUDIES!$A$3:$A$502,0)</f>
        <v>17</v>
      </c>
      <c r="B1296" s="272" t="s">
        <v>784</v>
      </c>
      <c r="D1296" s="281" t="s">
        <v>1098</v>
      </c>
      <c r="E1296" s="272" t="s">
        <v>1268</v>
      </c>
      <c r="F1296" s="155" t="str">
        <f>_xlfn.XLOOKUP(B1296,STUDIES!$A$3:$A$1063,STUDIES!$G$3:$G$1063,"Not Found!")</f>
        <v>A</v>
      </c>
      <c r="G1296" s="273" t="s">
        <v>147</v>
      </c>
      <c r="H1296" s="273">
        <v>16</v>
      </c>
      <c r="I1296" s="273">
        <v>42</v>
      </c>
      <c r="J1296" s="274">
        <v>13</v>
      </c>
    </row>
    <row r="1297" spans="1:10" ht="18" customHeight="1" x14ac:dyDescent="0.35">
      <c r="A1297" s="274">
        <f>MATCH(B1297,STUDIES!$A$3:$A$502,0)</f>
        <v>17</v>
      </c>
      <c r="B1297" s="272" t="s">
        <v>784</v>
      </c>
      <c r="D1297" s="281" t="s">
        <v>1099</v>
      </c>
      <c r="E1297" s="272" t="s">
        <v>1268</v>
      </c>
      <c r="F1297" s="155" t="str">
        <f>_xlfn.XLOOKUP(B1297,STUDIES!$A$3:$A$1063,STUDIES!$G$3:$G$1063,"Not Found!")</f>
        <v>A</v>
      </c>
      <c r="G1297" s="273" t="s">
        <v>147</v>
      </c>
      <c r="H1297" s="273">
        <v>16</v>
      </c>
      <c r="I1297" s="273">
        <v>42</v>
      </c>
      <c r="J1297" s="274">
        <v>21</v>
      </c>
    </row>
    <row r="1298" spans="1:10" ht="18" customHeight="1" x14ac:dyDescent="0.35">
      <c r="A1298" s="274">
        <f>MATCH(B1298,STUDIES!$A$3:$A$502,0)</f>
        <v>17</v>
      </c>
      <c r="B1298" s="272" t="s">
        <v>784</v>
      </c>
      <c r="D1298" s="281" t="s">
        <v>1100</v>
      </c>
      <c r="E1298" s="272" t="s">
        <v>1268</v>
      </c>
      <c r="F1298" s="155" t="str">
        <f>_xlfn.XLOOKUP(B1298,STUDIES!$A$3:$A$1063,STUDIES!$G$3:$G$1063,"Not Found!")</f>
        <v>A</v>
      </c>
      <c r="G1298" s="273" t="s">
        <v>147</v>
      </c>
      <c r="H1298" s="273">
        <v>16</v>
      </c>
      <c r="I1298" s="273">
        <v>42</v>
      </c>
      <c r="J1298" s="274">
        <v>6</v>
      </c>
    </row>
    <row r="1299" spans="1:10" ht="18" customHeight="1" x14ac:dyDescent="0.35">
      <c r="A1299" s="274">
        <f>MATCH(B1299,STUDIES!$A$3:$A$502,0)</f>
        <v>18</v>
      </c>
      <c r="B1299" s="272" t="s">
        <v>808</v>
      </c>
      <c r="D1299" s="281" t="s">
        <v>1071</v>
      </c>
      <c r="E1299" s="272" t="s">
        <v>1258</v>
      </c>
      <c r="F1299" s="155" t="str">
        <f>_xlfn.XLOOKUP(B1299,STUDIES!$A$3:$A$1063,STUDIES!$G$3:$G$1063,"Not Found!")</f>
        <v>A</v>
      </c>
      <c r="G1299" s="273" t="s">
        <v>147</v>
      </c>
      <c r="H1299" s="273">
        <v>16</v>
      </c>
      <c r="I1299" s="273">
        <v>73</v>
      </c>
      <c r="J1299" s="274">
        <v>48</v>
      </c>
    </row>
    <row r="1300" spans="1:10" ht="18" customHeight="1" x14ac:dyDescent="0.35">
      <c r="A1300" s="274">
        <f>MATCH(B1300,STUDIES!$A$3:$A$502,0)</f>
        <v>18</v>
      </c>
      <c r="B1300" s="272" t="s">
        <v>808</v>
      </c>
      <c r="D1300" s="281" t="s">
        <v>1072</v>
      </c>
      <c r="E1300" s="272" t="s">
        <v>1258</v>
      </c>
      <c r="F1300" s="155" t="str">
        <f>_xlfn.XLOOKUP(B1300,STUDIES!$A$3:$A$1063,STUDIES!$G$3:$G$1063,"Not Found!")</f>
        <v>A</v>
      </c>
      <c r="G1300" s="273" t="s">
        <v>147</v>
      </c>
      <c r="H1300" s="273">
        <v>16</v>
      </c>
      <c r="I1300" s="273">
        <v>80</v>
      </c>
      <c r="J1300" s="274">
        <v>62</v>
      </c>
    </row>
    <row r="1301" spans="1:10" ht="18" customHeight="1" x14ac:dyDescent="0.35">
      <c r="A1301" s="274">
        <f>MATCH(B1301,STUDIES!$A$3:$A$502,0)</f>
        <v>18</v>
      </c>
      <c r="B1301" s="272" t="s">
        <v>808</v>
      </c>
      <c r="D1301" s="281" t="s">
        <v>1073</v>
      </c>
      <c r="E1301" s="272" t="s">
        <v>1258</v>
      </c>
      <c r="F1301" s="155" t="str">
        <f>_xlfn.XLOOKUP(B1301,STUDIES!$A$3:$A$1063,STUDIES!$G$3:$G$1063,"Not Found!")</f>
        <v>A</v>
      </c>
      <c r="G1301" s="273" t="s">
        <v>147</v>
      </c>
      <c r="H1301" s="273">
        <v>16</v>
      </c>
      <c r="I1301" s="273">
        <v>75</v>
      </c>
      <c r="J1301" s="274">
        <v>61</v>
      </c>
    </row>
    <row r="1302" spans="1:10" ht="18" customHeight="1" x14ac:dyDescent="0.35">
      <c r="A1302" s="274">
        <f>MATCH(B1302,STUDIES!$A$3:$A$502,0)</f>
        <v>18</v>
      </c>
      <c r="B1302" s="272" t="s">
        <v>808</v>
      </c>
      <c r="D1302" s="281" t="s">
        <v>148</v>
      </c>
      <c r="E1302" s="272" t="s">
        <v>1258</v>
      </c>
      <c r="F1302" s="155" t="str">
        <f>_xlfn.XLOOKUP(B1302,STUDIES!$A$3:$A$1063,STUDIES!$G$3:$G$1063,"Not Found!")</f>
        <v>A</v>
      </c>
      <c r="G1302" s="273" t="s">
        <v>147</v>
      </c>
      <c r="H1302" s="273">
        <v>16</v>
      </c>
      <c r="I1302" s="273">
        <v>52</v>
      </c>
      <c r="J1302" s="274">
        <v>24</v>
      </c>
    </row>
    <row r="1303" spans="1:10" ht="18" customHeight="1" x14ac:dyDescent="0.35">
      <c r="A1303" s="274">
        <f>MATCH(B1303,STUDIES!$A$3:$A$502,0)</f>
        <v>18</v>
      </c>
      <c r="B1303" s="272" t="s">
        <v>808</v>
      </c>
      <c r="D1303" s="281" t="s">
        <v>1071</v>
      </c>
      <c r="E1303" s="272" t="s">
        <v>1243</v>
      </c>
      <c r="F1303" s="155" t="str">
        <f>_xlfn.XLOOKUP(B1303,STUDIES!$A$3:$A$1063,STUDIES!$G$3:$G$1063,"Not Found!")</f>
        <v>A</v>
      </c>
      <c r="G1303" s="273" t="s">
        <v>147</v>
      </c>
      <c r="H1303" s="273">
        <v>16</v>
      </c>
      <c r="I1303" s="273">
        <v>73</v>
      </c>
      <c r="J1303" s="274">
        <v>32</v>
      </c>
    </row>
    <row r="1304" spans="1:10" ht="18" customHeight="1" x14ac:dyDescent="0.35">
      <c r="A1304" s="274">
        <f>MATCH(B1304,STUDIES!$A$3:$A$502,0)</f>
        <v>18</v>
      </c>
      <c r="B1304" s="272" t="s">
        <v>808</v>
      </c>
      <c r="D1304" s="281" t="s">
        <v>1072</v>
      </c>
      <c r="E1304" s="272" t="s">
        <v>1243</v>
      </c>
      <c r="F1304" s="155" t="str">
        <f>_xlfn.XLOOKUP(B1304,STUDIES!$A$3:$A$1063,STUDIES!$G$3:$G$1063,"Not Found!")</f>
        <v>A</v>
      </c>
      <c r="G1304" s="273" t="s">
        <v>147</v>
      </c>
      <c r="H1304" s="273">
        <v>16</v>
      </c>
      <c r="I1304" s="273">
        <v>80</v>
      </c>
      <c r="J1304" s="274">
        <v>45</v>
      </c>
    </row>
    <row r="1305" spans="1:10" ht="18" customHeight="1" x14ac:dyDescent="0.35">
      <c r="A1305" s="274">
        <f>MATCH(B1305,STUDIES!$A$3:$A$502,0)</f>
        <v>18</v>
      </c>
      <c r="B1305" s="272" t="s">
        <v>808</v>
      </c>
      <c r="D1305" s="281" t="s">
        <v>1073</v>
      </c>
      <c r="E1305" s="272" t="s">
        <v>1243</v>
      </c>
      <c r="F1305" s="155" t="str">
        <f>_xlfn.XLOOKUP(B1305,STUDIES!$A$3:$A$1063,STUDIES!$G$3:$G$1063,"Not Found!")</f>
        <v>A</v>
      </c>
      <c r="G1305" s="273" t="s">
        <v>147</v>
      </c>
      <c r="H1305" s="273">
        <v>16</v>
      </c>
      <c r="I1305" s="273">
        <v>75</v>
      </c>
      <c r="J1305" s="274">
        <v>45</v>
      </c>
    </row>
    <row r="1306" spans="1:10" ht="18" customHeight="1" x14ac:dyDescent="0.35">
      <c r="A1306" s="274">
        <f>MATCH(B1306,STUDIES!$A$3:$A$502,0)</f>
        <v>18</v>
      </c>
      <c r="B1306" s="272" t="s">
        <v>808</v>
      </c>
      <c r="D1306" s="281" t="s">
        <v>148</v>
      </c>
      <c r="E1306" s="272" t="s">
        <v>1243</v>
      </c>
      <c r="F1306" s="155" t="str">
        <f>_xlfn.XLOOKUP(B1306,STUDIES!$A$3:$A$1063,STUDIES!$G$3:$G$1063,"Not Found!")</f>
        <v>A</v>
      </c>
      <c r="G1306" s="273" t="s">
        <v>147</v>
      </c>
      <c r="H1306" s="273">
        <v>16</v>
      </c>
      <c r="I1306" s="273">
        <v>52</v>
      </c>
      <c r="J1306" s="274">
        <v>13</v>
      </c>
    </row>
    <row r="1307" spans="1:10" ht="18" customHeight="1" x14ac:dyDescent="0.35">
      <c r="A1307" s="274">
        <f>MATCH(B1307,STUDIES!$A$3:$A$502,0)</f>
        <v>18</v>
      </c>
      <c r="B1307" s="272" t="s">
        <v>808</v>
      </c>
      <c r="D1307" s="281" t="s">
        <v>1071</v>
      </c>
      <c r="E1307" s="272" t="s">
        <v>1244</v>
      </c>
      <c r="F1307" s="155" t="str">
        <f>_xlfn.XLOOKUP(B1307,STUDIES!$A$3:$A$1063,STUDIES!$G$3:$G$1063,"Not Found!")</f>
        <v>A</v>
      </c>
      <c r="G1307" s="273" t="s">
        <v>147</v>
      </c>
      <c r="H1307" s="273">
        <v>16</v>
      </c>
      <c r="I1307" s="273">
        <v>73</v>
      </c>
      <c r="J1307" s="274">
        <v>19</v>
      </c>
    </row>
    <row r="1308" spans="1:10" ht="18" customHeight="1" x14ac:dyDescent="0.35">
      <c r="A1308" s="274">
        <f>MATCH(B1308,STUDIES!$A$3:$A$502,0)</f>
        <v>18</v>
      </c>
      <c r="B1308" s="272" t="s">
        <v>808</v>
      </c>
      <c r="D1308" s="281" t="s">
        <v>1072</v>
      </c>
      <c r="E1308" s="272" t="s">
        <v>1244</v>
      </c>
      <c r="F1308" s="155" t="str">
        <f>_xlfn.XLOOKUP(B1308,STUDIES!$A$3:$A$1063,STUDIES!$G$3:$G$1063,"Not Found!")</f>
        <v>A</v>
      </c>
      <c r="G1308" s="273" t="s">
        <v>147</v>
      </c>
      <c r="H1308" s="273">
        <v>16</v>
      </c>
      <c r="I1308" s="273">
        <v>80</v>
      </c>
      <c r="J1308" s="274">
        <v>29</v>
      </c>
    </row>
    <row r="1309" spans="1:10" ht="18" customHeight="1" x14ac:dyDescent="0.35">
      <c r="A1309" s="274">
        <f>MATCH(B1309,STUDIES!$A$3:$A$502,0)</f>
        <v>18</v>
      </c>
      <c r="B1309" s="272" t="s">
        <v>808</v>
      </c>
      <c r="D1309" s="281" t="s">
        <v>1073</v>
      </c>
      <c r="E1309" s="272" t="s">
        <v>1244</v>
      </c>
      <c r="F1309" s="155" t="str">
        <f>_xlfn.XLOOKUP(B1309,STUDIES!$A$3:$A$1063,STUDIES!$G$3:$G$1063,"Not Found!")</f>
        <v>A</v>
      </c>
      <c r="G1309" s="273" t="s">
        <v>147</v>
      </c>
      <c r="H1309" s="273">
        <v>16</v>
      </c>
      <c r="I1309" s="273">
        <v>75</v>
      </c>
      <c r="J1309" s="274">
        <v>33</v>
      </c>
    </row>
    <row r="1310" spans="1:10" ht="18" customHeight="1" x14ac:dyDescent="0.35">
      <c r="A1310" s="274">
        <f>MATCH(B1310,STUDIES!$A$3:$A$502,0)</f>
        <v>18</v>
      </c>
      <c r="B1310" s="272" t="s">
        <v>808</v>
      </c>
      <c r="D1310" s="281" t="s">
        <v>148</v>
      </c>
      <c r="E1310" s="272" t="s">
        <v>1244</v>
      </c>
      <c r="F1310" s="155" t="str">
        <f>_xlfn.XLOOKUP(B1310,STUDIES!$A$3:$A$1063,STUDIES!$G$3:$G$1063,"Not Found!")</f>
        <v>A</v>
      </c>
      <c r="G1310" s="273" t="s">
        <v>147</v>
      </c>
      <c r="H1310" s="273">
        <v>16</v>
      </c>
      <c r="I1310" s="273">
        <v>52</v>
      </c>
      <c r="J1310" s="274">
        <v>6</v>
      </c>
    </row>
    <row r="1311" spans="1:10" ht="18" customHeight="1" x14ac:dyDescent="0.35">
      <c r="A1311" s="274">
        <f>MATCH(B1311,STUDIES!$A$3:$A$502,0)</f>
        <v>18</v>
      </c>
      <c r="B1311" s="272" t="s">
        <v>808</v>
      </c>
      <c r="D1311" s="281" t="s">
        <v>1071</v>
      </c>
      <c r="E1311" s="272" t="s">
        <v>1268</v>
      </c>
      <c r="F1311" s="155" t="str">
        <f>_xlfn.XLOOKUP(B1311,STUDIES!$A$3:$A$1063,STUDIES!$G$3:$G$1063,"Not Found!")</f>
        <v>A</v>
      </c>
      <c r="G1311" s="273" t="s">
        <v>147</v>
      </c>
      <c r="H1311" s="273">
        <v>16</v>
      </c>
      <c r="I1311" s="273">
        <v>73</v>
      </c>
      <c r="J1311" s="274">
        <v>19</v>
      </c>
    </row>
    <row r="1312" spans="1:10" ht="18" customHeight="1" x14ac:dyDescent="0.35">
      <c r="A1312" s="274">
        <f>MATCH(B1312,STUDIES!$A$3:$A$502,0)</f>
        <v>18</v>
      </c>
      <c r="B1312" s="272" t="s">
        <v>808</v>
      </c>
      <c r="D1312" s="281" t="s">
        <v>1072</v>
      </c>
      <c r="E1312" s="272" t="s">
        <v>1268</v>
      </c>
      <c r="F1312" s="155" t="str">
        <f>_xlfn.XLOOKUP(B1312,STUDIES!$A$3:$A$1063,STUDIES!$G$3:$G$1063,"Not Found!")</f>
        <v>A</v>
      </c>
      <c r="G1312" s="273" t="s">
        <v>147</v>
      </c>
      <c r="H1312" s="273">
        <v>16</v>
      </c>
      <c r="I1312" s="273">
        <v>80</v>
      </c>
      <c r="J1312" s="274">
        <v>27</v>
      </c>
    </row>
    <row r="1313" spans="1:10" ht="18" customHeight="1" x14ac:dyDescent="0.35">
      <c r="A1313" s="274">
        <f>MATCH(B1313,STUDIES!$A$3:$A$502,0)</f>
        <v>18</v>
      </c>
      <c r="B1313" s="272" t="s">
        <v>808</v>
      </c>
      <c r="D1313" s="281" t="s">
        <v>1073</v>
      </c>
      <c r="E1313" s="272" t="s">
        <v>1268</v>
      </c>
      <c r="F1313" s="155" t="str">
        <f>_xlfn.XLOOKUP(B1313,STUDIES!$A$3:$A$1063,STUDIES!$G$3:$G$1063,"Not Found!")</f>
        <v>A</v>
      </c>
      <c r="G1313" s="273" t="s">
        <v>147</v>
      </c>
      <c r="H1313" s="273">
        <v>16</v>
      </c>
      <c r="I1313" s="273">
        <v>75</v>
      </c>
      <c r="J1313" s="274">
        <v>33</v>
      </c>
    </row>
    <row r="1314" spans="1:10" ht="18" customHeight="1" x14ac:dyDescent="0.35">
      <c r="A1314" s="274">
        <f>MATCH(B1314,STUDIES!$A$3:$A$502,0)</f>
        <v>18</v>
      </c>
      <c r="B1314" s="272" t="s">
        <v>808</v>
      </c>
      <c r="D1314" s="281" t="s">
        <v>148</v>
      </c>
      <c r="E1314" s="272" t="s">
        <v>1268</v>
      </c>
      <c r="F1314" s="155" t="str">
        <f>_xlfn.XLOOKUP(B1314,STUDIES!$A$3:$A$1063,STUDIES!$G$3:$G$1063,"Not Found!")</f>
        <v>A</v>
      </c>
      <c r="G1314" s="273" t="s">
        <v>147</v>
      </c>
      <c r="H1314" s="273">
        <v>16</v>
      </c>
      <c r="I1314" s="273">
        <v>52</v>
      </c>
      <c r="J1314" s="274">
        <v>8</v>
      </c>
    </row>
    <row r="1315" spans="1:10" ht="18" customHeight="1" x14ac:dyDescent="0.35">
      <c r="A1315" s="274">
        <f>MATCH(B1315,STUDIES!$A$3:$A$502,0)</f>
        <v>23</v>
      </c>
      <c r="B1315" s="272" t="s">
        <v>869</v>
      </c>
      <c r="D1315" s="281" t="s">
        <v>1084</v>
      </c>
      <c r="E1315" s="272" t="s">
        <v>1258</v>
      </c>
      <c r="F1315" s="155" t="str">
        <f>_xlfn.XLOOKUP(B1315,STUDIES!$A$3:$A$1063,STUDIES!$G$3:$G$1063,"Not Found!")</f>
        <v>A</v>
      </c>
      <c r="G1315" s="273" t="s">
        <v>147</v>
      </c>
      <c r="H1315" s="273">
        <v>16</v>
      </c>
      <c r="I1315" s="273">
        <v>143</v>
      </c>
      <c r="J1315" s="274">
        <v>74</v>
      </c>
    </row>
    <row r="1316" spans="1:10" ht="18" customHeight="1" x14ac:dyDescent="0.35">
      <c r="A1316" s="274">
        <f>MATCH(B1316,STUDIES!$A$3:$A$502,0)</f>
        <v>23</v>
      </c>
      <c r="B1316" s="272" t="s">
        <v>869</v>
      </c>
      <c r="D1316" s="281" t="s">
        <v>148</v>
      </c>
      <c r="E1316" s="272" t="s">
        <v>1258</v>
      </c>
      <c r="F1316" s="155" t="str">
        <f>_xlfn.XLOOKUP(B1316,STUDIES!$A$3:$A$1063,STUDIES!$G$3:$G$1063,"Not Found!")</f>
        <v>A</v>
      </c>
      <c r="G1316" s="273" t="s">
        <v>147</v>
      </c>
      <c r="H1316" s="273">
        <v>16</v>
      </c>
      <c r="I1316" s="273">
        <v>72</v>
      </c>
      <c r="J1316" s="274">
        <v>29</v>
      </c>
    </row>
    <row r="1317" spans="1:10" ht="18" customHeight="1" x14ac:dyDescent="0.35">
      <c r="A1317" s="274">
        <f>MATCH(B1317,STUDIES!$A$3:$A$502,0)</f>
        <v>23</v>
      </c>
      <c r="B1317" s="272" t="s">
        <v>869</v>
      </c>
      <c r="D1317" s="281" t="s">
        <v>1084</v>
      </c>
      <c r="E1317" s="272" t="s">
        <v>1243</v>
      </c>
      <c r="F1317" s="155" t="str">
        <f>_xlfn.XLOOKUP(B1317,STUDIES!$A$3:$A$1063,STUDIES!$G$3:$G$1063,"Not Found!")</f>
        <v>A</v>
      </c>
      <c r="G1317" s="273" t="s">
        <v>147</v>
      </c>
      <c r="H1317" s="273">
        <v>16</v>
      </c>
      <c r="I1317" s="273">
        <v>143</v>
      </c>
      <c r="J1317" s="274">
        <v>37</v>
      </c>
    </row>
    <row r="1318" spans="1:10" ht="18" customHeight="1" x14ac:dyDescent="0.35">
      <c r="A1318" s="274">
        <f>MATCH(B1318,STUDIES!$A$3:$A$502,0)</f>
        <v>23</v>
      </c>
      <c r="B1318" s="272" t="s">
        <v>869</v>
      </c>
      <c r="D1318" s="281" t="s">
        <v>148</v>
      </c>
      <c r="E1318" s="272" t="s">
        <v>1243</v>
      </c>
      <c r="F1318" s="155" t="str">
        <f>_xlfn.XLOOKUP(B1318,STUDIES!$A$3:$A$1063,STUDIES!$G$3:$G$1063,"Not Found!")</f>
        <v>A</v>
      </c>
      <c r="G1318" s="273" t="s">
        <v>147</v>
      </c>
      <c r="H1318" s="273">
        <v>16</v>
      </c>
      <c r="I1318" s="273">
        <v>72</v>
      </c>
      <c r="J1318" s="274">
        <v>13</v>
      </c>
    </row>
    <row r="1319" spans="1:10" ht="18" customHeight="1" x14ac:dyDescent="0.35">
      <c r="A1319" s="274">
        <f>MATCH(B1319,STUDIES!$A$3:$A$502,0)</f>
        <v>23</v>
      </c>
      <c r="B1319" s="272" t="s">
        <v>869</v>
      </c>
      <c r="D1319" s="281" t="s">
        <v>1084</v>
      </c>
      <c r="E1319" s="272" t="s">
        <v>1244</v>
      </c>
      <c r="F1319" s="155" t="str">
        <f>_xlfn.XLOOKUP(B1319,STUDIES!$A$3:$A$1063,STUDIES!$G$3:$G$1063,"Not Found!")</f>
        <v>A</v>
      </c>
      <c r="G1319" s="273" t="s">
        <v>147</v>
      </c>
      <c r="H1319" s="273">
        <v>16</v>
      </c>
      <c r="I1319" s="273">
        <v>143</v>
      </c>
      <c r="J1319" s="274">
        <v>10</v>
      </c>
    </row>
    <row r="1320" spans="1:10" ht="18" customHeight="1" x14ac:dyDescent="0.35">
      <c r="A1320" s="274">
        <f>MATCH(B1320,STUDIES!$A$3:$A$502,0)</f>
        <v>23</v>
      </c>
      <c r="B1320" s="272" t="s">
        <v>869</v>
      </c>
      <c r="D1320" s="281" t="s">
        <v>148</v>
      </c>
      <c r="E1320" s="272" t="s">
        <v>1244</v>
      </c>
      <c r="F1320" s="155" t="str">
        <f>_xlfn.XLOOKUP(B1320,STUDIES!$A$3:$A$1063,STUDIES!$G$3:$G$1063,"Not Found!")</f>
        <v>A</v>
      </c>
      <c r="G1320" s="273" t="s">
        <v>147</v>
      </c>
      <c r="H1320" s="273">
        <v>16</v>
      </c>
      <c r="I1320" s="273">
        <v>72</v>
      </c>
      <c r="J1320" s="274">
        <v>3</v>
      </c>
    </row>
    <row r="1321" spans="1:10" ht="18" customHeight="1" x14ac:dyDescent="0.35">
      <c r="A1321" s="274">
        <f>MATCH(B1321,STUDIES!$A$3:$A$502,0)</f>
        <v>23</v>
      </c>
      <c r="B1321" s="272" t="s">
        <v>869</v>
      </c>
      <c r="D1321" s="281" t="s">
        <v>1084</v>
      </c>
      <c r="E1321" s="272" t="s">
        <v>1268</v>
      </c>
      <c r="F1321" s="155" t="str">
        <f>_xlfn.XLOOKUP(B1321,STUDIES!$A$3:$A$1063,STUDIES!$G$3:$G$1063,"Not Found!")</f>
        <v>A</v>
      </c>
      <c r="G1321" s="273" t="s">
        <v>147</v>
      </c>
      <c r="H1321" s="273">
        <v>16</v>
      </c>
      <c r="I1321" s="273">
        <v>143</v>
      </c>
      <c r="J1321" s="274">
        <v>8</v>
      </c>
    </row>
    <row r="1322" spans="1:10" ht="18" customHeight="1" x14ac:dyDescent="0.35">
      <c r="A1322" s="274">
        <f>MATCH(B1322,STUDIES!$A$3:$A$502,0)</f>
        <v>23</v>
      </c>
      <c r="B1322" s="272" t="s">
        <v>869</v>
      </c>
      <c r="D1322" s="281" t="s">
        <v>148</v>
      </c>
      <c r="E1322" s="272" t="s">
        <v>1268</v>
      </c>
      <c r="F1322" s="155" t="str">
        <f>_xlfn.XLOOKUP(B1322,STUDIES!$A$3:$A$1063,STUDIES!$G$3:$G$1063,"Not Found!")</f>
        <v>A</v>
      </c>
      <c r="G1322" s="273" t="s">
        <v>147</v>
      </c>
      <c r="H1322" s="273">
        <v>16</v>
      </c>
      <c r="I1322" s="273">
        <v>72</v>
      </c>
      <c r="J1322" s="274">
        <v>4</v>
      </c>
    </row>
    <row r="1323" spans="1:10" ht="18" customHeight="1" x14ac:dyDescent="0.35">
      <c r="A1323" s="274">
        <f>MATCH(B1323,STUDIES!$A$3:$A$502,0)</f>
        <v>29</v>
      </c>
      <c r="B1323" s="272" t="s">
        <v>820</v>
      </c>
      <c r="D1323" s="281" t="s">
        <v>1057</v>
      </c>
      <c r="E1323" s="272" t="s">
        <v>1258</v>
      </c>
      <c r="F1323" s="155" t="str">
        <f>_xlfn.XLOOKUP(B1323,STUDIES!$A$3:$A$1063,STUDIES!$G$3:$G$1063,"Not Found!")</f>
        <v>C</v>
      </c>
      <c r="G1323" s="273" t="s">
        <v>147</v>
      </c>
      <c r="H1323" s="273">
        <v>16</v>
      </c>
      <c r="I1323" s="273">
        <v>122</v>
      </c>
      <c r="J1323" s="274">
        <v>111</v>
      </c>
    </row>
    <row r="1324" spans="1:10" ht="18" customHeight="1" x14ac:dyDescent="0.35">
      <c r="A1324" s="274">
        <f>MATCH(B1324,STUDIES!$A$3:$A$502,0)</f>
        <v>29</v>
      </c>
      <c r="B1324" s="272" t="s">
        <v>820</v>
      </c>
      <c r="D1324" s="316" t="s">
        <v>1054</v>
      </c>
      <c r="E1324" s="272" t="s">
        <v>1258</v>
      </c>
      <c r="F1324" s="155" t="str">
        <f>_xlfn.XLOOKUP(B1324,STUDIES!$A$3:$A$1063,STUDIES!$G$3:$G$1063,"Not Found!")</f>
        <v>C</v>
      </c>
      <c r="G1324" s="273" t="s">
        <v>147</v>
      </c>
      <c r="H1324" s="273">
        <v>16</v>
      </c>
      <c r="I1324" s="273">
        <v>122</v>
      </c>
      <c r="J1324" s="274">
        <v>101</v>
      </c>
    </row>
    <row r="1325" spans="1:10" ht="18" customHeight="1" x14ac:dyDescent="0.35">
      <c r="A1325" s="274">
        <f>MATCH(B1325,STUDIES!$A$3:$A$502,0)</f>
        <v>29</v>
      </c>
      <c r="B1325" s="272" t="s">
        <v>820</v>
      </c>
      <c r="D1325" s="281" t="s">
        <v>148</v>
      </c>
      <c r="E1325" s="272" t="s">
        <v>1258</v>
      </c>
      <c r="F1325" s="155" t="str">
        <f>_xlfn.XLOOKUP(B1325,STUDIES!$A$3:$A$1063,STUDIES!$G$3:$G$1063,"Not Found!")</f>
        <v>C</v>
      </c>
      <c r="G1325" s="273" t="s">
        <v>147</v>
      </c>
      <c r="H1325" s="273">
        <v>16</v>
      </c>
      <c r="I1325" s="273">
        <v>123</v>
      </c>
      <c r="J1325" s="274">
        <v>53</v>
      </c>
    </row>
    <row r="1326" spans="1:10" ht="18" customHeight="1" x14ac:dyDescent="0.35">
      <c r="A1326" s="274">
        <f>MATCH(B1326,STUDIES!$A$3:$A$502,0)</f>
        <v>29</v>
      </c>
      <c r="B1326" s="272" t="s">
        <v>820</v>
      </c>
      <c r="D1326" s="281" t="s">
        <v>1057</v>
      </c>
      <c r="E1326" s="272" t="s">
        <v>1243</v>
      </c>
      <c r="F1326" s="155" t="str">
        <f>_xlfn.XLOOKUP(B1326,STUDIES!$A$3:$A$1063,STUDIES!$G$3:$G$1063,"Not Found!")</f>
        <v>C</v>
      </c>
      <c r="G1326" s="273" t="s">
        <v>147</v>
      </c>
      <c r="H1326" s="273">
        <v>16</v>
      </c>
      <c r="I1326" s="273">
        <v>122</v>
      </c>
      <c r="J1326" s="274">
        <v>85</v>
      </c>
    </row>
    <row r="1327" spans="1:10" ht="18" customHeight="1" x14ac:dyDescent="0.35">
      <c r="A1327" s="274">
        <f>MATCH(B1327,STUDIES!$A$3:$A$502,0)</f>
        <v>29</v>
      </c>
      <c r="B1327" s="272" t="s">
        <v>820</v>
      </c>
      <c r="D1327" s="316" t="s">
        <v>1054</v>
      </c>
      <c r="E1327" s="272" t="s">
        <v>1243</v>
      </c>
      <c r="F1327" s="155" t="str">
        <f>_xlfn.XLOOKUP(B1327,STUDIES!$A$3:$A$1063,STUDIES!$G$3:$G$1063,"Not Found!")</f>
        <v>C</v>
      </c>
      <c r="G1327" s="273" t="s">
        <v>147</v>
      </c>
      <c r="H1327" s="273">
        <v>16</v>
      </c>
      <c r="I1327" s="273">
        <v>122</v>
      </c>
      <c r="J1327" s="274">
        <v>82</v>
      </c>
    </row>
    <row r="1328" spans="1:10" ht="18" customHeight="1" x14ac:dyDescent="0.35">
      <c r="A1328" s="274">
        <f>MATCH(B1328,STUDIES!$A$3:$A$502,0)</f>
        <v>29</v>
      </c>
      <c r="B1328" s="272" t="s">
        <v>820</v>
      </c>
      <c r="D1328" s="281" t="s">
        <v>148</v>
      </c>
      <c r="E1328" s="272" t="s">
        <v>1243</v>
      </c>
      <c r="F1328" s="155" t="str">
        <f>_xlfn.XLOOKUP(B1328,STUDIES!$A$3:$A$1063,STUDIES!$G$3:$G$1063,"Not Found!")</f>
        <v>C</v>
      </c>
      <c r="G1328" s="273" t="s">
        <v>147</v>
      </c>
      <c r="H1328" s="273">
        <v>16</v>
      </c>
      <c r="I1328" s="273">
        <v>123</v>
      </c>
      <c r="J1328" s="274">
        <v>33</v>
      </c>
    </row>
    <row r="1329" spans="1:10" ht="18" customHeight="1" x14ac:dyDescent="0.35">
      <c r="A1329" s="274">
        <f>MATCH(B1329,STUDIES!$A$3:$A$502,0)</f>
        <v>29</v>
      </c>
      <c r="B1329" s="272" t="s">
        <v>820</v>
      </c>
      <c r="D1329" s="281" t="s">
        <v>1057</v>
      </c>
      <c r="E1329" s="272" t="s">
        <v>1244</v>
      </c>
      <c r="F1329" s="155" t="str">
        <f>_xlfn.XLOOKUP(B1329,STUDIES!$A$3:$A$1063,STUDIES!$G$3:$G$1063,"Not Found!")</f>
        <v>C</v>
      </c>
      <c r="G1329" s="273" t="s">
        <v>147</v>
      </c>
      <c r="H1329" s="273">
        <v>16</v>
      </c>
      <c r="I1329" s="273">
        <v>122</v>
      </c>
      <c r="J1329" s="274">
        <v>51</v>
      </c>
    </row>
    <row r="1330" spans="1:10" ht="18" customHeight="1" x14ac:dyDescent="0.35">
      <c r="A1330" s="274">
        <f>MATCH(B1330,STUDIES!$A$3:$A$502,0)</f>
        <v>29</v>
      </c>
      <c r="B1330" s="272" t="s">
        <v>820</v>
      </c>
      <c r="D1330" s="316" t="s">
        <v>1054</v>
      </c>
      <c r="E1330" s="272" t="s">
        <v>1244</v>
      </c>
      <c r="F1330" s="155" t="str">
        <f>_xlfn.XLOOKUP(B1330,STUDIES!$A$3:$A$1063,STUDIES!$G$3:$G$1063,"Not Found!")</f>
        <v>C</v>
      </c>
      <c r="G1330" s="273" t="s">
        <v>147</v>
      </c>
      <c r="H1330" s="273">
        <v>16</v>
      </c>
      <c r="I1330" s="273">
        <v>122</v>
      </c>
      <c r="J1330" s="274">
        <v>37</v>
      </c>
    </row>
    <row r="1331" spans="1:10" ht="18" customHeight="1" x14ac:dyDescent="0.35">
      <c r="A1331" s="274">
        <f>MATCH(B1331,STUDIES!$A$3:$A$502,0)</f>
        <v>29</v>
      </c>
      <c r="B1331" s="272" t="s">
        <v>820</v>
      </c>
      <c r="D1331" s="281" t="s">
        <v>148</v>
      </c>
      <c r="E1331" s="272" t="s">
        <v>1244</v>
      </c>
      <c r="F1331" s="155" t="str">
        <f>_xlfn.XLOOKUP(B1331,STUDIES!$A$3:$A$1063,STUDIES!$G$3:$G$1063,"Not Found!")</f>
        <v>C</v>
      </c>
      <c r="G1331" s="273" t="s">
        <v>147</v>
      </c>
      <c r="H1331" s="273">
        <v>16</v>
      </c>
      <c r="I1331" s="273">
        <v>123</v>
      </c>
      <c r="J1331" s="274">
        <v>9</v>
      </c>
    </row>
    <row r="1332" spans="1:10" ht="18" customHeight="1" x14ac:dyDescent="0.35">
      <c r="A1332" s="274">
        <f>MATCH(B1332,STUDIES!$A$3:$A$502,0)</f>
        <v>29</v>
      </c>
      <c r="B1332" s="272" t="s">
        <v>820</v>
      </c>
      <c r="D1332" s="281" t="s">
        <v>1057</v>
      </c>
      <c r="E1332" s="272" t="s">
        <v>1268</v>
      </c>
      <c r="F1332" s="155" t="str">
        <f>_xlfn.XLOOKUP(B1332,STUDIES!$A$3:$A$1063,STUDIES!$G$3:$G$1063,"Not Found!")</f>
        <v>C</v>
      </c>
      <c r="G1332" s="273" t="s">
        <v>147</v>
      </c>
      <c r="H1332" s="273">
        <v>16</v>
      </c>
      <c r="I1332" s="273">
        <v>122</v>
      </c>
      <c r="J1332" s="274">
        <v>40</v>
      </c>
    </row>
    <row r="1333" spans="1:10" ht="18" customHeight="1" x14ac:dyDescent="0.35">
      <c r="A1333" s="274">
        <f>MATCH(B1333,STUDIES!$A$3:$A$502,0)</f>
        <v>29</v>
      </c>
      <c r="B1333" s="272" t="s">
        <v>820</v>
      </c>
      <c r="D1333" s="316" t="s">
        <v>1054</v>
      </c>
      <c r="E1333" s="272" t="s">
        <v>1268</v>
      </c>
      <c r="F1333" s="155" t="str">
        <f>_xlfn.XLOOKUP(B1333,STUDIES!$A$3:$A$1063,STUDIES!$G$3:$G$1063,"Not Found!")</f>
        <v>C</v>
      </c>
      <c r="G1333" s="273" t="s">
        <v>147</v>
      </c>
      <c r="H1333" s="273">
        <v>16</v>
      </c>
      <c r="I1333" s="273">
        <v>122</v>
      </c>
      <c r="J1333" s="274">
        <v>36</v>
      </c>
    </row>
    <row r="1334" spans="1:10" ht="18" customHeight="1" x14ac:dyDescent="0.35">
      <c r="A1334" s="274">
        <f>MATCH(B1334,STUDIES!$A$3:$A$502,0)</f>
        <v>29</v>
      </c>
      <c r="B1334" s="272" t="s">
        <v>820</v>
      </c>
      <c r="D1334" s="281" t="s">
        <v>148</v>
      </c>
      <c r="E1334" s="272" t="s">
        <v>1268</v>
      </c>
      <c r="F1334" s="155" t="str">
        <f>_xlfn.XLOOKUP(B1334,STUDIES!$A$3:$A$1063,STUDIES!$G$3:$G$1063,"Not Found!")</f>
        <v>C</v>
      </c>
      <c r="G1334" s="273" t="s">
        <v>147</v>
      </c>
      <c r="H1334" s="273">
        <v>16</v>
      </c>
      <c r="I1334" s="273">
        <v>123</v>
      </c>
      <c r="J1334" s="274">
        <v>14</v>
      </c>
    </row>
    <row r="1335" spans="1:10" ht="18" customHeight="1" x14ac:dyDescent="0.35">
      <c r="A1335" s="274">
        <f>MATCH(B1335,STUDIES!$A$3:$A$502,0)</f>
        <v>30</v>
      </c>
      <c r="B1335" s="272" t="s">
        <v>837</v>
      </c>
      <c r="D1335" s="281" t="s">
        <v>1043</v>
      </c>
      <c r="E1335" s="272" t="s">
        <v>1258</v>
      </c>
      <c r="F1335" s="155" t="str">
        <f>_xlfn.XLOOKUP(B1335,STUDIES!$A$3:$A$1063,STUDIES!$G$3:$G$1063,"Not Found!")</f>
        <v>A</v>
      </c>
      <c r="G1335" s="273" t="s">
        <v>147</v>
      </c>
      <c r="H1335" s="273">
        <v>16</v>
      </c>
      <c r="I1335" s="273">
        <v>109</v>
      </c>
      <c r="J1335" s="274">
        <v>70</v>
      </c>
    </row>
    <row r="1336" spans="1:10" ht="18" customHeight="1" x14ac:dyDescent="0.35">
      <c r="A1336" s="274">
        <f>MATCH(B1336,STUDIES!$A$3:$A$502,0)</f>
        <v>30</v>
      </c>
      <c r="B1336" s="272" t="s">
        <v>837</v>
      </c>
      <c r="D1336" s="281" t="s">
        <v>1044</v>
      </c>
      <c r="E1336" s="272" t="s">
        <v>1258</v>
      </c>
      <c r="F1336" s="155" t="str">
        <f>_xlfn.XLOOKUP(B1336,STUDIES!$A$3:$A$1063,STUDIES!$G$3:$G$1063,"Not Found!")</f>
        <v>A</v>
      </c>
      <c r="G1336" s="273" t="s">
        <v>147</v>
      </c>
      <c r="H1336" s="273">
        <v>16</v>
      </c>
      <c r="I1336" s="273">
        <v>111</v>
      </c>
      <c r="J1336" s="274">
        <v>78</v>
      </c>
    </row>
    <row r="1337" spans="1:10" ht="18" customHeight="1" x14ac:dyDescent="0.35">
      <c r="A1337" s="274">
        <f>MATCH(B1337,STUDIES!$A$3:$A$502,0)</f>
        <v>30</v>
      </c>
      <c r="B1337" s="272" t="s">
        <v>837</v>
      </c>
      <c r="D1337" s="281" t="s">
        <v>148</v>
      </c>
      <c r="E1337" s="272" t="s">
        <v>1258</v>
      </c>
      <c r="F1337" s="155" t="str">
        <f>_xlfn.XLOOKUP(B1337,STUDIES!$A$3:$A$1063,STUDIES!$G$3:$G$1063,"Not Found!")</f>
        <v>A</v>
      </c>
      <c r="G1337" s="273" t="s">
        <v>147</v>
      </c>
      <c r="H1337" s="273">
        <v>16</v>
      </c>
      <c r="I1337" s="273">
        <v>109</v>
      </c>
      <c r="J1337" s="274">
        <v>45</v>
      </c>
    </row>
    <row r="1338" spans="1:10" ht="18" customHeight="1" x14ac:dyDescent="0.35">
      <c r="A1338" s="274">
        <f>MATCH(B1338,STUDIES!$A$3:$A$502,0)</f>
        <v>30</v>
      </c>
      <c r="B1338" s="272" t="s">
        <v>837</v>
      </c>
      <c r="D1338" s="281" t="s">
        <v>1043</v>
      </c>
      <c r="E1338" s="272" t="s">
        <v>1243</v>
      </c>
      <c r="F1338" s="155" t="str">
        <f>_xlfn.XLOOKUP(B1338,STUDIES!$A$3:$A$1063,STUDIES!$G$3:$G$1063,"Not Found!")</f>
        <v>A</v>
      </c>
      <c r="G1338" s="273" t="s">
        <v>147</v>
      </c>
      <c r="H1338" s="273">
        <v>16</v>
      </c>
      <c r="I1338" s="273">
        <v>109</v>
      </c>
      <c r="J1338" s="274">
        <v>47</v>
      </c>
    </row>
    <row r="1339" spans="1:10" ht="18" customHeight="1" x14ac:dyDescent="0.35">
      <c r="A1339" s="274">
        <f>MATCH(B1339,STUDIES!$A$3:$A$502,0)</f>
        <v>30</v>
      </c>
      <c r="B1339" s="272" t="s">
        <v>837</v>
      </c>
      <c r="D1339" s="281" t="s">
        <v>1044</v>
      </c>
      <c r="E1339" s="272" t="s">
        <v>1243</v>
      </c>
      <c r="F1339" s="155" t="str">
        <f>_xlfn.XLOOKUP(B1339,STUDIES!$A$3:$A$1063,STUDIES!$G$3:$G$1063,"Not Found!")</f>
        <v>A</v>
      </c>
      <c r="G1339" s="273" t="s">
        <v>147</v>
      </c>
      <c r="H1339" s="273">
        <v>16</v>
      </c>
      <c r="I1339" s="273">
        <v>111</v>
      </c>
      <c r="J1339" s="274">
        <v>53</v>
      </c>
    </row>
    <row r="1340" spans="1:10" ht="18" customHeight="1" x14ac:dyDescent="0.35">
      <c r="A1340" s="274">
        <f>MATCH(B1340,STUDIES!$A$3:$A$502,0)</f>
        <v>30</v>
      </c>
      <c r="B1340" s="272" t="s">
        <v>837</v>
      </c>
      <c r="D1340" s="281" t="s">
        <v>148</v>
      </c>
      <c r="E1340" s="272" t="s">
        <v>1243</v>
      </c>
      <c r="F1340" s="155" t="str">
        <f>_xlfn.XLOOKUP(B1340,STUDIES!$A$3:$A$1063,STUDIES!$G$3:$G$1063,"Not Found!")</f>
        <v>A</v>
      </c>
      <c r="G1340" s="273" t="s">
        <v>147</v>
      </c>
      <c r="H1340" s="273">
        <v>16</v>
      </c>
      <c r="I1340" s="273">
        <v>109</v>
      </c>
      <c r="J1340" s="274">
        <v>25</v>
      </c>
    </row>
    <row r="1341" spans="1:10" ht="18" customHeight="1" x14ac:dyDescent="0.35">
      <c r="A1341" s="274">
        <f>MATCH(B1341,STUDIES!$A$3:$A$502,0)</f>
        <v>30</v>
      </c>
      <c r="B1341" s="272" t="s">
        <v>837</v>
      </c>
      <c r="D1341" s="281" t="s">
        <v>1043</v>
      </c>
      <c r="E1341" s="272" t="s">
        <v>1244</v>
      </c>
      <c r="F1341" s="155" t="str">
        <f>_xlfn.XLOOKUP(B1341,STUDIES!$A$3:$A$1063,STUDIES!$G$3:$G$1063,"Not Found!")</f>
        <v>A</v>
      </c>
      <c r="G1341" s="273" t="s">
        <v>147</v>
      </c>
      <c r="H1341" s="273">
        <v>16</v>
      </c>
      <c r="I1341" s="273">
        <v>109</v>
      </c>
      <c r="J1341" s="274">
        <v>18</v>
      </c>
    </row>
    <row r="1342" spans="1:10" ht="18" customHeight="1" x14ac:dyDescent="0.35">
      <c r="A1342" s="274">
        <f>MATCH(B1342,STUDIES!$A$3:$A$502,0)</f>
        <v>30</v>
      </c>
      <c r="B1342" s="272" t="s">
        <v>837</v>
      </c>
      <c r="D1342" s="281" t="s">
        <v>1044</v>
      </c>
      <c r="E1342" s="272" t="s">
        <v>1244</v>
      </c>
      <c r="F1342" s="155" t="str">
        <f>_xlfn.XLOOKUP(B1342,STUDIES!$A$3:$A$1063,STUDIES!$G$3:$G$1063,"Not Found!")</f>
        <v>A</v>
      </c>
      <c r="G1342" s="273" t="s">
        <v>147</v>
      </c>
      <c r="H1342" s="273">
        <v>16</v>
      </c>
      <c r="I1342" s="273">
        <v>111</v>
      </c>
      <c r="J1342" s="274">
        <v>27</v>
      </c>
    </row>
    <row r="1343" spans="1:10" ht="18" customHeight="1" x14ac:dyDescent="0.35">
      <c r="A1343" s="274">
        <f>MATCH(B1343,STUDIES!$A$3:$A$502,0)</f>
        <v>30</v>
      </c>
      <c r="B1343" s="272" t="s">
        <v>837</v>
      </c>
      <c r="D1343" s="281" t="s">
        <v>148</v>
      </c>
      <c r="E1343" s="272" t="s">
        <v>1244</v>
      </c>
      <c r="F1343" s="155" t="str">
        <f>_xlfn.XLOOKUP(B1343,STUDIES!$A$3:$A$1063,STUDIES!$G$3:$G$1063,"Not Found!")</f>
        <v>A</v>
      </c>
      <c r="G1343" s="273" t="s">
        <v>147</v>
      </c>
      <c r="H1343" s="273">
        <v>16</v>
      </c>
      <c r="I1343" s="273">
        <v>109</v>
      </c>
      <c r="J1343" s="274">
        <v>15</v>
      </c>
    </row>
    <row r="1344" spans="1:10" ht="18" customHeight="1" x14ac:dyDescent="0.35">
      <c r="A1344" s="274">
        <f>MATCH(B1344,STUDIES!$A$3:$A$502,0)</f>
        <v>30</v>
      </c>
      <c r="B1344" s="272" t="s">
        <v>837</v>
      </c>
      <c r="D1344" s="281" t="s">
        <v>1043</v>
      </c>
      <c r="E1344" s="272" t="s">
        <v>1268</v>
      </c>
      <c r="F1344" s="155" t="str">
        <f>_xlfn.XLOOKUP(B1344,STUDIES!$A$3:$A$1063,STUDIES!$G$3:$G$1063,"Not Found!")</f>
        <v>A</v>
      </c>
      <c r="G1344" s="273" t="s">
        <v>147</v>
      </c>
      <c r="H1344" s="273">
        <v>16</v>
      </c>
      <c r="I1344" s="273">
        <v>109</v>
      </c>
      <c r="J1344" s="274">
        <v>26</v>
      </c>
    </row>
    <row r="1345" spans="1:10" ht="18" customHeight="1" x14ac:dyDescent="0.35">
      <c r="A1345" s="274">
        <f>MATCH(B1345,STUDIES!$A$3:$A$502,0)</f>
        <v>30</v>
      </c>
      <c r="B1345" s="272" t="s">
        <v>837</v>
      </c>
      <c r="D1345" s="281" t="s">
        <v>1044</v>
      </c>
      <c r="E1345" s="272" t="s">
        <v>1268</v>
      </c>
      <c r="F1345" s="155" t="str">
        <f>_xlfn.XLOOKUP(B1345,STUDIES!$A$3:$A$1063,STUDIES!$G$3:$G$1063,"Not Found!")</f>
        <v>A</v>
      </c>
      <c r="G1345" s="273" t="s">
        <v>147</v>
      </c>
      <c r="H1345" s="273">
        <v>16</v>
      </c>
      <c r="I1345" s="273">
        <v>111</v>
      </c>
      <c r="J1345" s="274">
        <v>34</v>
      </c>
    </row>
    <row r="1346" spans="1:10" ht="18" customHeight="1" x14ac:dyDescent="0.35">
      <c r="A1346" s="274">
        <f>MATCH(B1346,STUDIES!$A$3:$A$502,0)</f>
        <v>30</v>
      </c>
      <c r="B1346" s="272" t="s">
        <v>837</v>
      </c>
      <c r="D1346" s="281" t="s">
        <v>148</v>
      </c>
      <c r="E1346" s="272" t="s">
        <v>1268</v>
      </c>
      <c r="F1346" s="155" t="str">
        <f>_xlfn.XLOOKUP(B1346,STUDIES!$A$3:$A$1063,STUDIES!$G$3:$G$1063,"Not Found!")</f>
        <v>A</v>
      </c>
      <c r="G1346" s="273" t="s">
        <v>147</v>
      </c>
      <c r="H1346" s="273">
        <v>16</v>
      </c>
      <c r="I1346" s="273">
        <v>109</v>
      </c>
      <c r="J1346" s="274">
        <v>16</v>
      </c>
    </row>
    <row r="1347" spans="1:10" ht="18" customHeight="1" x14ac:dyDescent="0.35">
      <c r="A1347" s="274">
        <f>MATCH(B1347,STUDIES!$A$3:$A$502,0)</f>
        <v>31</v>
      </c>
      <c r="B1347" s="272" t="s">
        <v>352</v>
      </c>
      <c r="D1347" s="281" t="s">
        <v>1077</v>
      </c>
      <c r="E1347" s="272" t="s">
        <v>1258</v>
      </c>
      <c r="F1347" s="155" t="str">
        <f>_xlfn.XLOOKUP(B1347,STUDIES!$A$3:$A$1063,STUDIES!$G$3:$G$1063,"Not Found!")</f>
        <v>A</v>
      </c>
      <c r="G1347" s="273" t="s">
        <v>147</v>
      </c>
      <c r="H1347" s="273">
        <v>12</v>
      </c>
      <c r="I1347" s="273">
        <v>45</v>
      </c>
      <c r="J1347" s="274">
        <v>20</v>
      </c>
    </row>
    <row r="1348" spans="1:10" ht="18" customHeight="1" x14ac:dyDescent="0.35">
      <c r="A1348" s="274">
        <f>MATCH(B1348,STUDIES!$A$3:$A$502,0)</f>
        <v>31</v>
      </c>
      <c r="B1348" s="272" t="s">
        <v>352</v>
      </c>
      <c r="D1348" s="281" t="s">
        <v>1078</v>
      </c>
      <c r="E1348" s="272" t="s">
        <v>1258</v>
      </c>
      <c r="F1348" s="155" t="str">
        <f>_xlfn.XLOOKUP(B1348,STUDIES!$A$3:$A$1063,STUDIES!$G$3:$G$1063,"Not Found!")</f>
        <v>A</v>
      </c>
      <c r="G1348" s="273" t="s">
        <v>147</v>
      </c>
      <c r="H1348" s="273">
        <v>12</v>
      </c>
      <c r="I1348" s="273">
        <v>46</v>
      </c>
      <c r="J1348" s="274">
        <v>24</v>
      </c>
    </row>
    <row r="1349" spans="1:10" ht="18" customHeight="1" x14ac:dyDescent="0.35">
      <c r="A1349" s="274">
        <f>MATCH(B1349,STUDIES!$A$3:$A$502,0)</f>
        <v>31</v>
      </c>
      <c r="B1349" s="272" t="s">
        <v>352</v>
      </c>
      <c r="D1349" s="281" t="s">
        <v>1079</v>
      </c>
      <c r="E1349" s="272" t="s">
        <v>1258</v>
      </c>
      <c r="F1349" s="155" t="str">
        <f>_xlfn.XLOOKUP(B1349,STUDIES!$A$3:$A$1063,STUDIES!$G$3:$G$1063,"Not Found!")</f>
        <v>A</v>
      </c>
      <c r="G1349" s="273" t="s">
        <v>147</v>
      </c>
      <c r="H1349" s="273">
        <v>12</v>
      </c>
      <c r="I1349" s="273">
        <v>46</v>
      </c>
      <c r="J1349" s="274">
        <v>21</v>
      </c>
    </row>
    <row r="1350" spans="1:10" ht="18" customHeight="1" x14ac:dyDescent="0.35">
      <c r="A1350" s="274">
        <f>MATCH(B1350,STUDIES!$A$3:$A$502,0)</f>
        <v>31</v>
      </c>
      <c r="B1350" s="272" t="s">
        <v>352</v>
      </c>
      <c r="D1350" s="281" t="s">
        <v>148</v>
      </c>
      <c r="E1350" s="272" t="s">
        <v>1258</v>
      </c>
      <c r="F1350" s="155" t="str">
        <f>_xlfn.XLOOKUP(B1350,STUDIES!$A$3:$A$1063,STUDIES!$G$3:$G$1063,"Not Found!")</f>
        <v>A</v>
      </c>
      <c r="G1350" s="273" t="s">
        <v>147</v>
      </c>
      <c r="H1350" s="273">
        <v>12</v>
      </c>
      <c r="I1350" s="273">
        <v>43</v>
      </c>
      <c r="J1350" s="274">
        <v>16</v>
      </c>
    </row>
    <row r="1351" spans="1:10" ht="18" customHeight="1" x14ac:dyDescent="0.35">
      <c r="A1351" s="274">
        <f>MATCH(B1351,STUDIES!$A$3:$A$502,0)</f>
        <v>31</v>
      </c>
      <c r="B1351" s="272" t="s">
        <v>352</v>
      </c>
      <c r="D1351" s="281" t="s">
        <v>1077</v>
      </c>
      <c r="E1351" s="272" t="s">
        <v>1243</v>
      </c>
      <c r="F1351" s="155" t="str">
        <f>_xlfn.XLOOKUP(B1351,STUDIES!$A$3:$A$1063,STUDIES!$G$3:$G$1063,"Not Found!")</f>
        <v>A</v>
      </c>
      <c r="G1351" s="273" t="s">
        <v>147</v>
      </c>
      <c r="H1351" s="273">
        <v>12</v>
      </c>
      <c r="I1351" s="273">
        <v>45</v>
      </c>
      <c r="J1351" s="274">
        <v>15</v>
      </c>
    </row>
    <row r="1352" spans="1:10" ht="18" customHeight="1" x14ac:dyDescent="0.35">
      <c r="A1352" s="274">
        <f>MATCH(B1352,STUDIES!$A$3:$A$502,0)</f>
        <v>31</v>
      </c>
      <c r="B1352" s="272" t="s">
        <v>352</v>
      </c>
      <c r="D1352" s="281" t="s">
        <v>1078</v>
      </c>
      <c r="E1352" s="272" t="s">
        <v>1243</v>
      </c>
      <c r="F1352" s="155" t="str">
        <f>_xlfn.XLOOKUP(B1352,STUDIES!$A$3:$A$1063,STUDIES!$G$3:$G$1063,"Not Found!")</f>
        <v>A</v>
      </c>
      <c r="G1352" s="273" t="s">
        <v>147</v>
      </c>
      <c r="H1352" s="273">
        <v>12</v>
      </c>
      <c r="I1352" s="273">
        <v>46</v>
      </c>
      <c r="J1352" s="274">
        <v>17</v>
      </c>
    </row>
    <row r="1353" spans="1:10" ht="18" customHeight="1" x14ac:dyDescent="0.35">
      <c r="A1353" s="274">
        <f>MATCH(B1353,STUDIES!$A$3:$A$502,0)</f>
        <v>31</v>
      </c>
      <c r="B1353" s="272" t="s">
        <v>352</v>
      </c>
      <c r="D1353" s="281" t="s">
        <v>1079</v>
      </c>
      <c r="E1353" s="272" t="s">
        <v>1243</v>
      </c>
      <c r="F1353" s="155" t="str">
        <f>_xlfn.XLOOKUP(B1353,STUDIES!$A$3:$A$1063,STUDIES!$G$3:$G$1063,"Not Found!")</f>
        <v>A</v>
      </c>
      <c r="G1353" s="273" t="s">
        <v>147</v>
      </c>
      <c r="H1353" s="273">
        <v>12</v>
      </c>
      <c r="I1353" s="273">
        <v>46</v>
      </c>
      <c r="J1353" s="274">
        <v>10</v>
      </c>
    </row>
    <row r="1354" spans="1:10" ht="18" customHeight="1" x14ac:dyDescent="0.35">
      <c r="A1354" s="274">
        <f>MATCH(B1354,STUDIES!$A$3:$A$502,0)</f>
        <v>31</v>
      </c>
      <c r="B1354" s="272" t="s">
        <v>352</v>
      </c>
      <c r="D1354" s="281" t="s">
        <v>148</v>
      </c>
      <c r="E1354" s="272" t="s">
        <v>1243</v>
      </c>
      <c r="F1354" s="155" t="str">
        <f>_xlfn.XLOOKUP(B1354,STUDIES!$A$3:$A$1063,STUDIES!$G$3:$G$1063,"Not Found!")</f>
        <v>A</v>
      </c>
      <c r="G1354" s="273" t="s">
        <v>147</v>
      </c>
      <c r="H1354" s="273">
        <v>12</v>
      </c>
      <c r="I1354" s="273">
        <v>43</v>
      </c>
      <c r="J1354" s="274">
        <v>8</v>
      </c>
    </row>
    <row r="1355" spans="1:10" ht="18" customHeight="1" x14ac:dyDescent="0.35">
      <c r="A1355" s="274">
        <f>MATCH(B1355,STUDIES!$A$3:$A$502,0)</f>
        <v>31</v>
      </c>
      <c r="B1355" s="272" t="s">
        <v>352</v>
      </c>
      <c r="D1355" s="281" t="s">
        <v>1077</v>
      </c>
      <c r="E1355" s="272" t="s">
        <v>1268</v>
      </c>
      <c r="F1355" s="155" t="str">
        <f>_xlfn.XLOOKUP(B1355,STUDIES!$A$3:$A$1063,STUDIES!$G$3:$G$1063,"Not Found!")</f>
        <v>A</v>
      </c>
      <c r="G1355" s="273" t="s">
        <v>147</v>
      </c>
      <c r="H1355" s="273">
        <v>12</v>
      </c>
      <c r="I1355" s="273">
        <v>33</v>
      </c>
      <c r="J1355" s="274">
        <v>5</v>
      </c>
    </row>
    <row r="1356" spans="1:10" ht="18" customHeight="1" x14ac:dyDescent="0.35">
      <c r="A1356" s="274">
        <f>MATCH(B1356,STUDIES!$A$3:$A$502,0)</f>
        <v>31</v>
      </c>
      <c r="B1356" s="272" t="s">
        <v>352</v>
      </c>
      <c r="D1356" s="281" t="s">
        <v>1078</v>
      </c>
      <c r="E1356" s="272" t="s">
        <v>1268</v>
      </c>
      <c r="F1356" s="155" t="str">
        <f>_xlfn.XLOOKUP(B1356,STUDIES!$A$3:$A$1063,STUDIES!$G$3:$G$1063,"Not Found!")</f>
        <v>A</v>
      </c>
      <c r="G1356" s="273" t="s">
        <v>147</v>
      </c>
      <c r="H1356" s="273">
        <v>12</v>
      </c>
      <c r="I1356" s="273">
        <v>35</v>
      </c>
      <c r="J1356" s="274">
        <v>13</v>
      </c>
    </row>
    <row r="1357" spans="1:10" ht="18" customHeight="1" x14ac:dyDescent="0.35">
      <c r="A1357" s="274">
        <f>MATCH(B1357,STUDIES!$A$3:$A$502,0)</f>
        <v>31</v>
      </c>
      <c r="B1357" s="272" t="s">
        <v>352</v>
      </c>
      <c r="D1357" s="281" t="s">
        <v>1079</v>
      </c>
      <c r="E1357" s="272" t="s">
        <v>1268</v>
      </c>
      <c r="F1357" s="155" t="str">
        <f>_xlfn.XLOOKUP(B1357,STUDIES!$A$3:$A$1063,STUDIES!$G$3:$G$1063,"Not Found!")</f>
        <v>A</v>
      </c>
      <c r="G1357" s="273" t="s">
        <v>147</v>
      </c>
      <c r="H1357" s="273">
        <v>12</v>
      </c>
      <c r="I1357" s="273">
        <v>32</v>
      </c>
      <c r="J1357" s="274">
        <v>8</v>
      </c>
    </row>
    <row r="1358" spans="1:10" ht="18" customHeight="1" x14ac:dyDescent="0.35">
      <c r="A1358" s="274">
        <f>MATCH(B1358,STUDIES!$A$3:$A$502,0)</f>
        <v>31</v>
      </c>
      <c r="B1358" s="272" t="s">
        <v>352</v>
      </c>
      <c r="D1358" s="281" t="s">
        <v>148</v>
      </c>
      <c r="E1358" s="272" t="s">
        <v>1268</v>
      </c>
      <c r="F1358" s="155" t="str">
        <f>_xlfn.XLOOKUP(B1358,STUDIES!$A$3:$A$1063,STUDIES!$G$3:$G$1063,"Not Found!")</f>
        <v>A</v>
      </c>
      <c r="G1358" s="273" t="s">
        <v>147</v>
      </c>
      <c r="H1358" s="273">
        <v>12</v>
      </c>
      <c r="I1358" s="273">
        <v>26</v>
      </c>
      <c r="J1358" s="274">
        <v>3</v>
      </c>
    </row>
    <row r="1359" spans="1:10" ht="18" customHeight="1" x14ac:dyDescent="0.35">
      <c r="A1359" s="274">
        <f>MATCH(B1359,STUDIES!$A$3:$A$502,0)</f>
        <v>32</v>
      </c>
      <c r="B1359" s="272" t="s">
        <v>361</v>
      </c>
      <c r="D1359" s="281" t="s">
        <v>148</v>
      </c>
      <c r="E1359" s="272" t="s">
        <v>1258</v>
      </c>
      <c r="F1359" s="155" t="str">
        <f>_xlfn.XLOOKUP(B1359,STUDIES!$A$3:$A$1063,STUDIES!$G$3:$G$1063,"Not Found!")</f>
        <v>A</v>
      </c>
      <c r="G1359" s="273" t="s">
        <v>147</v>
      </c>
      <c r="H1359" s="273">
        <v>12</v>
      </c>
      <c r="I1359" s="273">
        <v>27</v>
      </c>
      <c r="J1359" s="274">
        <v>11</v>
      </c>
    </row>
    <row r="1360" spans="1:10" ht="18" customHeight="1" x14ac:dyDescent="0.35">
      <c r="A1360" s="274">
        <f>MATCH(B1360,STUDIES!$A$3:$A$502,0)</f>
        <v>32</v>
      </c>
      <c r="B1360" s="272" t="s">
        <v>361</v>
      </c>
      <c r="D1360" s="281" t="s">
        <v>1101</v>
      </c>
      <c r="E1360" s="272" t="s">
        <v>1258</v>
      </c>
      <c r="F1360" s="155" t="str">
        <f>_xlfn.XLOOKUP(B1360,STUDIES!$A$3:$A$1063,STUDIES!$G$3:$G$1063,"Not Found!")</f>
        <v>A</v>
      </c>
      <c r="G1360" s="273" t="s">
        <v>147</v>
      </c>
      <c r="H1360" s="273">
        <v>12</v>
      </c>
      <c r="I1360" s="273">
        <v>24</v>
      </c>
      <c r="J1360" s="274">
        <v>9</v>
      </c>
    </row>
    <row r="1361" spans="1:10" ht="18" customHeight="1" x14ac:dyDescent="0.35">
      <c r="A1361" s="274">
        <f>MATCH(B1361,STUDIES!$A$3:$A$502,0)</f>
        <v>32</v>
      </c>
      <c r="B1361" s="272" t="s">
        <v>361</v>
      </c>
      <c r="D1361" s="281" t="s">
        <v>1103</v>
      </c>
      <c r="E1361" s="272" t="s">
        <v>1258</v>
      </c>
      <c r="F1361" s="155" t="str">
        <f>_xlfn.XLOOKUP(B1361,STUDIES!$A$3:$A$1063,STUDIES!$G$3:$G$1063,"Not Found!")</f>
        <v>A</v>
      </c>
      <c r="G1361" s="273" t="s">
        <v>147</v>
      </c>
      <c r="H1361" s="273">
        <v>12</v>
      </c>
      <c r="I1361" s="273">
        <v>28</v>
      </c>
      <c r="J1361" s="274">
        <v>10</v>
      </c>
    </row>
    <row r="1362" spans="1:10" ht="18" customHeight="1" x14ac:dyDescent="0.35">
      <c r="A1362" s="274">
        <f>MATCH(B1362,STUDIES!$A$3:$A$502,0)</f>
        <v>32</v>
      </c>
      <c r="B1362" s="272" t="s">
        <v>361</v>
      </c>
      <c r="D1362" s="281" t="s">
        <v>148</v>
      </c>
      <c r="E1362" s="272" t="s">
        <v>1243</v>
      </c>
      <c r="F1362" s="155" t="str">
        <f>_xlfn.XLOOKUP(B1362,STUDIES!$A$3:$A$1063,STUDIES!$G$3:$G$1063,"Not Found!")</f>
        <v>A</v>
      </c>
      <c r="G1362" s="273" t="s">
        <v>147</v>
      </c>
      <c r="H1362" s="273">
        <v>12</v>
      </c>
      <c r="I1362" s="273">
        <v>27</v>
      </c>
      <c r="J1362" s="274">
        <v>4</v>
      </c>
    </row>
    <row r="1363" spans="1:10" ht="18" customHeight="1" x14ac:dyDescent="0.35">
      <c r="A1363" s="274">
        <f>MATCH(B1363,STUDIES!$A$3:$A$502,0)</f>
        <v>32</v>
      </c>
      <c r="B1363" s="272" t="s">
        <v>361</v>
      </c>
      <c r="D1363" s="281" t="s">
        <v>1101</v>
      </c>
      <c r="E1363" s="272" t="s">
        <v>1243</v>
      </c>
      <c r="F1363" s="155" t="str">
        <f>_xlfn.XLOOKUP(B1363,STUDIES!$A$3:$A$1063,STUDIES!$G$3:$G$1063,"Not Found!")</f>
        <v>A</v>
      </c>
      <c r="G1363" s="273" t="s">
        <v>147</v>
      </c>
      <c r="H1363" s="273">
        <v>12</v>
      </c>
      <c r="I1363" s="273">
        <v>24</v>
      </c>
      <c r="J1363" s="274">
        <v>2</v>
      </c>
    </row>
    <row r="1364" spans="1:10" ht="18" customHeight="1" x14ac:dyDescent="0.35">
      <c r="A1364" s="274">
        <f>MATCH(B1364,STUDIES!$A$3:$A$502,0)</f>
        <v>32</v>
      </c>
      <c r="B1364" s="272" t="s">
        <v>361</v>
      </c>
      <c r="D1364" s="281" t="s">
        <v>1103</v>
      </c>
      <c r="E1364" s="272" t="s">
        <v>1243</v>
      </c>
      <c r="F1364" s="155" t="str">
        <f>_xlfn.XLOOKUP(B1364,STUDIES!$A$3:$A$1063,STUDIES!$G$3:$G$1063,"Not Found!")</f>
        <v>A</v>
      </c>
      <c r="G1364" s="273" t="s">
        <v>147</v>
      </c>
      <c r="H1364" s="273">
        <v>12</v>
      </c>
      <c r="I1364" s="273">
        <v>28</v>
      </c>
      <c r="J1364" s="274">
        <v>5</v>
      </c>
    </row>
    <row r="1365" spans="1:10" ht="18" customHeight="1" x14ac:dyDescent="0.35">
      <c r="A1365" s="274">
        <f>MATCH(B1365,STUDIES!$A$3:$A$502,0)</f>
        <v>32</v>
      </c>
      <c r="B1365" s="272" t="s">
        <v>361</v>
      </c>
      <c r="D1365" s="281" t="s">
        <v>148</v>
      </c>
      <c r="E1365" s="272" t="s">
        <v>1268</v>
      </c>
      <c r="F1365" s="155" t="str">
        <f>_xlfn.XLOOKUP(B1365,STUDIES!$A$3:$A$1063,STUDIES!$G$3:$G$1063,"Not Found!")</f>
        <v>A</v>
      </c>
      <c r="G1365" s="273" t="s">
        <v>147</v>
      </c>
      <c r="H1365" s="273">
        <v>12</v>
      </c>
      <c r="I1365" s="273">
        <v>27</v>
      </c>
      <c r="J1365" s="274">
        <v>7</v>
      </c>
    </row>
    <row r="1366" spans="1:10" ht="18" customHeight="1" x14ac:dyDescent="0.35">
      <c r="A1366" s="274">
        <f>MATCH(B1366,STUDIES!$A$3:$A$502,0)</f>
        <v>32</v>
      </c>
      <c r="B1366" s="272" t="s">
        <v>361</v>
      </c>
      <c r="D1366" s="281" t="s">
        <v>1101</v>
      </c>
      <c r="E1366" s="272" t="s">
        <v>1268</v>
      </c>
      <c r="F1366" s="155" t="str">
        <f>_xlfn.XLOOKUP(B1366,STUDIES!$A$3:$A$1063,STUDIES!$G$3:$G$1063,"Not Found!")</f>
        <v>A</v>
      </c>
      <c r="G1366" s="273" t="s">
        <v>147</v>
      </c>
      <c r="H1366" s="273">
        <v>12</v>
      </c>
      <c r="I1366" s="273">
        <v>24</v>
      </c>
      <c r="J1366" s="274">
        <v>7</v>
      </c>
    </row>
    <row r="1367" spans="1:10" ht="18" customHeight="1" x14ac:dyDescent="0.35">
      <c r="A1367" s="274">
        <f>MATCH(B1367,STUDIES!$A$3:$A$502,0)</f>
        <v>32</v>
      </c>
      <c r="B1367" s="272" t="s">
        <v>361</v>
      </c>
      <c r="D1367" s="281" t="s">
        <v>1103</v>
      </c>
      <c r="E1367" s="272" t="s">
        <v>1268</v>
      </c>
      <c r="F1367" s="155" t="str">
        <f>_xlfn.XLOOKUP(B1367,STUDIES!$A$3:$A$1063,STUDIES!$G$3:$G$1063,"Not Found!")</f>
        <v>A</v>
      </c>
      <c r="G1367" s="273" t="s">
        <v>147</v>
      </c>
      <c r="H1367" s="273">
        <v>12</v>
      </c>
      <c r="I1367" s="273">
        <v>28</v>
      </c>
      <c r="J1367" s="274">
        <v>7</v>
      </c>
    </row>
    <row r="1368" spans="1:10" ht="18" customHeight="1" x14ac:dyDescent="0.35">
      <c r="A1368" s="274">
        <f>MATCH(B1368,STUDIES!$A$3:$A$502,0)</f>
        <v>33</v>
      </c>
      <c r="B1368" s="272" t="s">
        <v>315</v>
      </c>
      <c r="D1368" s="281" t="s">
        <v>1039</v>
      </c>
      <c r="E1368" s="272" t="s">
        <v>1268</v>
      </c>
      <c r="F1368" s="155" t="str">
        <f>_xlfn.XLOOKUP(B1368,STUDIES!$A$3:$A$1063,STUDIES!$G$3:$G$1063,"Not Found!")</f>
        <v>A</v>
      </c>
      <c r="G1368" s="273" t="s">
        <v>147</v>
      </c>
      <c r="H1368" s="273">
        <v>12</v>
      </c>
      <c r="I1368" s="273">
        <v>22</v>
      </c>
      <c r="J1368" s="274">
        <v>15</v>
      </c>
    </row>
    <row r="1369" spans="1:10" ht="18" customHeight="1" x14ac:dyDescent="0.35">
      <c r="A1369" s="274">
        <f>MATCH(B1369,STUDIES!$A$3:$A$502,0)</f>
        <v>33</v>
      </c>
      <c r="B1369" s="272" t="s">
        <v>315</v>
      </c>
      <c r="D1369" s="281" t="s">
        <v>1074</v>
      </c>
      <c r="E1369" s="272" t="s">
        <v>1268</v>
      </c>
      <c r="F1369" s="155" t="str">
        <f>_xlfn.XLOOKUP(B1369,STUDIES!$A$3:$A$1063,STUDIES!$G$3:$G$1063,"Not Found!")</f>
        <v>A</v>
      </c>
      <c r="G1369" s="273" t="s">
        <v>147</v>
      </c>
      <c r="H1369" s="273">
        <v>12</v>
      </c>
      <c r="I1369" s="273">
        <v>20</v>
      </c>
      <c r="J1369" s="274">
        <v>15</v>
      </c>
    </row>
    <row r="1370" spans="1:10" ht="18" customHeight="1" x14ac:dyDescent="0.35">
      <c r="A1370" s="274">
        <f>MATCH(B1370,STUDIES!$A$3:$A$502,0)</f>
        <v>34</v>
      </c>
      <c r="B1370" s="272" t="s">
        <v>709</v>
      </c>
      <c r="D1370" s="281" t="s">
        <v>1081</v>
      </c>
      <c r="E1370" s="272" t="s">
        <v>1258</v>
      </c>
      <c r="F1370" s="155" t="str">
        <f>_xlfn.XLOOKUP(B1370,STUDIES!$A$3:$A$1063,STUDIES!$G$3:$G$1063,"Not Found!")</f>
        <v>A</v>
      </c>
      <c r="G1370" s="273" t="s">
        <v>147</v>
      </c>
      <c r="H1370" s="273">
        <v>16</v>
      </c>
      <c r="I1370" s="273">
        <v>46</v>
      </c>
      <c r="J1370" s="274">
        <v>30</v>
      </c>
    </row>
    <row r="1371" spans="1:10" ht="18" customHeight="1" x14ac:dyDescent="0.35">
      <c r="A1371" s="274">
        <f>MATCH(B1371,STUDIES!$A$3:$A$502,0)</f>
        <v>34</v>
      </c>
      <c r="B1371" s="272" t="s">
        <v>709</v>
      </c>
      <c r="D1371" s="269" t="s">
        <v>1082</v>
      </c>
      <c r="E1371" s="272" t="s">
        <v>1258</v>
      </c>
      <c r="F1371" s="155" t="str">
        <f>_xlfn.XLOOKUP(B1371,STUDIES!$A$3:$A$1063,STUDIES!$G$3:$G$1063,"Not Found!")</f>
        <v>A</v>
      </c>
      <c r="G1371" s="273" t="s">
        <v>147</v>
      </c>
      <c r="H1371" s="273">
        <v>16</v>
      </c>
      <c r="I1371" s="273">
        <v>47</v>
      </c>
      <c r="J1371" s="274">
        <v>34</v>
      </c>
    </row>
    <row r="1372" spans="1:10" ht="18" customHeight="1" x14ac:dyDescent="0.35">
      <c r="A1372" s="274">
        <f>MATCH(B1372,STUDIES!$A$3:$A$502,0)</f>
        <v>34</v>
      </c>
      <c r="B1372" s="272" t="s">
        <v>709</v>
      </c>
      <c r="D1372" s="269" t="s">
        <v>1083</v>
      </c>
      <c r="E1372" s="272" t="s">
        <v>1258</v>
      </c>
      <c r="F1372" s="155" t="str">
        <f>_xlfn.XLOOKUP(B1372,STUDIES!$A$3:$A$1063,STUDIES!$G$3:$G$1063,"Not Found!")</f>
        <v>A</v>
      </c>
      <c r="G1372" s="273" t="s">
        <v>147</v>
      </c>
      <c r="H1372" s="273">
        <v>16</v>
      </c>
      <c r="I1372" s="273">
        <v>45</v>
      </c>
      <c r="J1372" s="274">
        <v>32</v>
      </c>
    </row>
    <row r="1373" spans="1:10" ht="18" customHeight="1" x14ac:dyDescent="0.35">
      <c r="A1373" s="274">
        <f>MATCH(B1373,STUDIES!$A$3:$A$502,0)</f>
        <v>34</v>
      </c>
      <c r="B1373" s="272" t="s">
        <v>709</v>
      </c>
      <c r="D1373" s="281" t="s">
        <v>148</v>
      </c>
      <c r="E1373" s="272" t="s">
        <v>1258</v>
      </c>
      <c r="F1373" s="155" t="str">
        <f>_xlfn.XLOOKUP(B1373,STUDIES!$A$3:$A$1063,STUDIES!$G$3:$G$1063,"Not Found!")</f>
        <v>A</v>
      </c>
      <c r="G1373" s="273" t="s">
        <v>147</v>
      </c>
      <c r="H1373" s="273">
        <v>16</v>
      </c>
      <c r="I1373" s="273">
        <v>44</v>
      </c>
      <c r="J1373" s="274">
        <v>21</v>
      </c>
    </row>
    <row r="1374" spans="1:10" ht="18" customHeight="1" x14ac:dyDescent="0.35">
      <c r="A1374" s="274">
        <f>MATCH(B1374,STUDIES!$A$3:$A$502,0)</f>
        <v>34</v>
      </c>
      <c r="B1374" s="272" t="s">
        <v>709</v>
      </c>
      <c r="D1374" s="281" t="s">
        <v>1081</v>
      </c>
      <c r="E1374" s="272" t="s">
        <v>1258</v>
      </c>
      <c r="F1374" s="155" t="str">
        <f>_xlfn.XLOOKUP(B1374,STUDIES!$A$3:$A$1063,STUDIES!$G$3:$G$1063,"Not Found!")</f>
        <v>A</v>
      </c>
      <c r="G1374" s="273" t="s">
        <v>152</v>
      </c>
      <c r="H1374" s="273">
        <v>24</v>
      </c>
      <c r="I1374" s="273">
        <v>40</v>
      </c>
      <c r="J1374" s="274">
        <v>33</v>
      </c>
    </row>
    <row r="1375" spans="1:10" ht="18" customHeight="1" x14ac:dyDescent="0.35">
      <c r="A1375" s="274">
        <f>MATCH(B1375,STUDIES!$A$3:$A$502,0)</f>
        <v>34</v>
      </c>
      <c r="B1375" s="272" t="s">
        <v>709</v>
      </c>
      <c r="D1375" s="269" t="s">
        <v>1082</v>
      </c>
      <c r="E1375" s="272" t="s">
        <v>1258</v>
      </c>
      <c r="F1375" s="155" t="str">
        <f>_xlfn.XLOOKUP(B1375,STUDIES!$A$3:$A$1063,STUDIES!$G$3:$G$1063,"Not Found!")</f>
        <v>A</v>
      </c>
      <c r="G1375" s="273" t="s">
        <v>152</v>
      </c>
      <c r="H1375" s="273">
        <v>24</v>
      </c>
      <c r="I1375" s="273">
        <v>44</v>
      </c>
      <c r="J1375" s="274">
        <v>38</v>
      </c>
    </row>
    <row r="1376" spans="1:10" ht="18" customHeight="1" x14ac:dyDescent="0.35">
      <c r="A1376" s="274">
        <f>MATCH(B1376,STUDIES!$A$3:$A$502,0)</f>
        <v>34</v>
      </c>
      <c r="B1376" s="272" t="s">
        <v>709</v>
      </c>
      <c r="D1376" s="269" t="s">
        <v>1083</v>
      </c>
      <c r="E1376" s="272" t="s">
        <v>1258</v>
      </c>
      <c r="F1376" s="155" t="str">
        <f>_xlfn.XLOOKUP(B1376,STUDIES!$A$3:$A$1063,STUDIES!$G$3:$G$1063,"Not Found!")</f>
        <v>A</v>
      </c>
      <c r="G1376" s="273" t="s">
        <v>152</v>
      </c>
      <c r="H1376" s="273">
        <v>24</v>
      </c>
      <c r="I1376" s="273">
        <v>40</v>
      </c>
      <c r="J1376" s="274">
        <v>31</v>
      </c>
    </row>
    <row r="1377" spans="1:10" ht="18" customHeight="1" x14ac:dyDescent="0.35">
      <c r="A1377" s="274">
        <f>MATCH(B1377,STUDIES!$A$3:$A$502,0)</f>
        <v>34</v>
      </c>
      <c r="B1377" s="272" t="s">
        <v>709</v>
      </c>
      <c r="D1377" s="281" t="s">
        <v>148</v>
      </c>
      <c r="E1377" s="272" t="s">
        <v>1258</v>
      </c>
      <c r="F1377" s="155" t="str">
        <f>_xlfn.XLOOKUP(B1377,STUDIES!$A$3:$A$1063,STUDIES!$G$3:$G$1063,"Not Found!")</f>
        <v>A</v>
      </c>
      <c r="G1377" s="273" t="s">
        <v>152</v>
      </c>
      <c r="H1377" s="273">
        <v>24</v>
      </c>
      <c r="I1377" s="273">
        <v>38</v>
      </c>
      <c r="J1377" s="274">
        <v>25</v>
      </c>
    </row>
    <row r="1378" spans="1:10" ht="18" customHeight="1" x14ac:dyDescent="0.35">
      <c r="A1378" s="274">
        <f>MATCH(B1378,STUDIES!$A$3:$A$502,0)</f>
        <v>34</v>
      </c>
      <c r="B1378" s="272" t="s">
        <v>709</v>
      </c>
      <c r="D1378" s="281" t="s">
        <v>1081</v>
      </c>
      <c r="E1378" s="272" t="s">
        <v>1243</v>
      </c>
      <c r="F1378" s="155" t="str">
        <f>_xlfn.XLOOKUP(B1378,STUDIES!$A$3:$A$1063,STUDIES!$G$3:$G$1063,"Not Found!")</f>
        <v>A</v>
      </c>
      <c r="G1378" s="273" t="s">
        <v>147</v>
      </c>
      <c r="H1378" s="273">
        <v>16</v>
      </c>
      <c r="I1378" s="273">
        <v>46</v>
      </c>
      <c r="J1378" s="274">
        <v>18</v>
      </c>
    </row>
    <row r="1379" spans="1:10" ht="18" customHeight="1" x14ac:dyDescent="0.35">
      <c r="A1379" s="274">
        <f>MATCH(B1379,STUDIES!$A$3:$A$502,0)</f>
        <v>34</v>
      </c>
      <c r="B1379" s="272" t="s">
        <v>709</v>
      </c>
      <c r="D1379" s="269" t="s">
        <v>1082</v>
      </c>
      <c r="E1379" s="272" t="s">
        <v>1243</v>
      </c>
      <c r="F1379" s="155" t="str">
        <f>_xlfn.XLOOKUP(B1379,STUDIES!$A$3:$A$1063,STUDIES!$G$3:$G$1063,"Not Found!")</f>
        <v>A</v>
      </c>
      <c r="G1379" s="273" t="s">
        <v>147</v>
      </c>
      <c r="H1379" s="273">
        <v>16</v>
      </c>
      <c r="I1379" s="273">
        <v>47</v>
      </c>
      <c r="J1379" s="274">
        <v>28</v>
      </c>
    </row>
    <row r="1380" spans="1:10" ht="18" customHeight="1" x14ac:dyDescent="0.35">
      <c r="A1380" s="274">
        <f>MATCH(B1380,STUDIES!$A$3:$A$502,0)</f>
        <v>34</v>
      </c>
      <c r="B1380" s="272" t="s">
        <v>709</v>
      </c>
      <c r="D1380" s="269" t="s">
        <v>1083</v>
      </c>
      <c r="E1380" s="272" t="s">
        <v>1243</v>
      </c>
      <c r="F1380" s="155" t="str">
        <f>_xlfn.XLOOKUP(B1380,STUDIES!$A$3:$A$1063,STUDIES!$G$3:$G$1063,"Not Found!")</f>
        <v>A</v>
      </c>
      <c r="G1380" s="273" t="s">
        <v>147</v>
      </c>
      <c r="H1380" s="273">
        <v>16</v>
      </c>
      <c r="I1380" s="273">
        <v>45</v>
      </c>
      <c r="J1380" s="274">
        <v>21</v>
      </c>
    </row>
    <row r="1381" spans="1:10" ht="18" customHeight="1" x14ac:dyDescent="0.35">
      <c r="A1381" s="274">
        <f>MATCH(B1381,STUDIES!$A$3:$A$502,0)</f>
        <v>34</v>
      </c>
      <c r="B1381" s="272" t="s">
        <v>709</v>
      </c>
      <c r="D1381" s="281" t="s">
        <v>148</v>
      </c>
      <c r="E1381" s="272" t="s">
        <v>1243</v>
      </c>
      <c r="F1381" s="155" t="str">
        <f>_xlfn.XLOOKUP(B1381,STUDIES!$A$3:$A$1063,STUDIES!$G$3:$G$1063,"Not Found!")</f>
        <v>A</v>
      </c>
      <c r="G1381" s="273" t="s">
        <v>147</v>
      </c>
      <c r="H1381" s="273">
        <v>16</v>
      </c>
      <c r="I1381" s="273">
        <v>44</v>
      </c>
      <c r="J1381" s="274">
        <v>11</v>
      </c>
    </row>
    <row r="1382" spans="1:10" ht="18" customHeight="1" x14ac:dyDescent="0.35">
      <c r="A1382" s="274">
        <f>MATCH(B1382,STUDIES!$A$3:$A$502,0)</f>
        <v>34</v>
      </c>
      <c r="B1382" s="272" t="s">
        <v>709</v>
      </c>
      <c r="D1382" s="281" t="s">
        <v>1081</v>
      </c>
      <c r="E1382" s="272" t="s">
        <v>1243</v>
      </c>
      <c r="F1382" s="155" t="str">
        <f>_xlfn.XLOOKUP(B1382,STUDIES!$A$3:$A$1063,STUDIES!$G$3:$G$1063,"Not Found!")</f>
        <v>A</v>
      </c>
      <c r="G1382" s="273" t="s">
        <v>152</v>
      </c>
      <c r="H1382" s="273">
        <v>24</v>
      </c>
      <c r="I1382" s="273">
        <v>40</v>
      </c>
      <c r="J1382" s="274">
        <v>20</v>
      </c>
    </row>
    <row r="1383" spans="1:10" ht="18" customHeight="1" x14ac:dyDescent="0.35">
      <c r="A1383" s="274">
        <f>MATCH(B1383,STUDIES!$A$3:$A$502,0)</f>
        <v>34</v>
      </c>
      <c r="B1383" s="272" t="s">
        <v>709</v>
      </c>
      <c r="D1383" s="269" t="s">
        <v>1082</v>
      </c>
      <c r="E1383" s="272" t="s">
        <v>1243</v>
      </c>
      <c r="F1383" s="155" t="str">
        <f>_xlfn.XLOOKUP(B1383,STUDIES!$A$3:$A$1063,STUDIES!$G$3:$G$1063,"Not Found!")</f>
        <v>A</v>
      </c>
      <c r="G1383" s="273" t="s">
        <v>152</v>
      </c>
      <c r="H1383" s="273">
        <v>24</v>
      </c>
      <c r="I1383" s="273">
        <v>44</v>
      </c>
      <c r="J1383" s="274">
        <v>26</v>
      </c>
    </row>
    <row r="1384" spans="1:10" ht="18" customHeight="1" x14ac:dyDescent="0.35">
      <c r="A1384" s="274">
        <f>MATCH(B1384,STUDIES!$A$3:$A$502,0)</f>
        <v>34</v>
      </c>
      <c r="B1384" s="272" t="s">
        <v>709</v>
      </c>
      <c r="D1384" s="269" t="s">
        <v>1083</v>
      </c>
      <c r="E1384" s="272" t="s">
        <v>1243</v>
      </c>
      <c r="F1384" s="155" t="str">
        <f>_xlfn.XLOOKUP(B1384,STUDIES!$A$3:$A$1063,STUDIES!$G$3:$G$1063,"Not Found!")</f>
        <v>A</v>
      </c>
      <c r="G1384" s="273" t="s">
        <v>152</v>
      </c>
      <c r="H1384" s="273">
        <v>24</v>
      </c>
      <c r="I1384" s="273">
        <v>40</v>
      </c>
      <c r="J1384" s="274">
        <v>25</v>
      </c>
    </row>
    <row r="1385" spans="1:10" ht="18" customHeight="1" x14ac:dyDescent="0.35">
      <c r="A1385" s="274">
        <f>MATCH(B1385,STUDIES!$A$3:$A$502,0)</f>
        <v>34</v>
      </c>
      <c r="B1385" s="272" t="s">
        <v>709</v>
      </c>
      <c r="D1385" s="281" t="s">
        <v>148</v>
      </c>
      <c r="E1385" s="272" t="s">
        <v>1243</v>
      </c>
      <c r="F1385" s="155" t="str">
        <f>_xlfn.XLOOKUP(B1385,STUDIES!$A$3:$A$1063,STUDIES!$G$3:$G$1063,"Not Found!")</f>
        <v>A</v>
      </c>
      <c r="G1385" s="273" t="s">
        <v>152</v>
      </c>
      <c r="H1385" s="273">
        <v>24</v>
      </c>
      <c r="I1385" s="273">
        <v>38</v>
      </c>
      <c r="J1385" s="274">
        <v>15</v>
      </c>
    </row>
    <row r="1386" spans="1:10" ht="18" customHeight="1" x14ac:dyDescent="0.35">
      <c r="A1386" s="274">
        <f>MATCH(B1386,STUDIES!$A$3:$A$502,0)</f>
        <v>34</v>
      </c>
      <c r="B1386" s="272" t="s">
        <v>709</v>
      </c>
      <c r="D1386" s="281" t="s">
        <v>1081</v>
      </c>
      <c r="E1386" s="272" t="s">
        <v>1244</v>
      </c>
      <c r="F1386" s="155" t="str">
        <f>_xlfn.XLOOKUP(B1386,STUDIES!$A$3:$A$1063,STUDIES!$G$3:$G$1063,"Not Found!")</f>
        <v>A</v>
      </c>
      <c r="G1386" s="273" t="s">
        <v>147</v>
      </c>
      <c r="H1386" s="273">
        <v>16</v>
      </c>
      <c r="I1386" s="273">
        <v>46</v>
      </c>
      <c r="J1386" s="274">
        <v>10</v>
      </c>
    </row>
    <row r="1387" spans="1:10" ht="18" customHeight="1" x14ac:dyDescent="0.35">
      <c r="A1387" s="274">
        <f>MATCH(B1387,STUDIES!$A$3:$A$502,0)</f>
        <v>34</v>
      </c>
      <c r="B1387" s="272" t="s">
        <v>709</v>
      </c>
      <c r="D1387" s="269" t="s">
        <v>1082</v>
      </c>
      <c r="E1387" s="272" t="s">
        <v>1244</v>
      </c>
      <c r="F1387" s="155" t="str">
        <f>_xlfn.XLOOKUP(B1387,STUDIES!$A$3:$A$1063,STUDIES!$G$3:$G$1063,"Not Found!")</f>
        <v>A</v>
      </c>
      <c r="G1387" s="273" t="s">
        <v>147</v>
      </c>
      <c r="H1387" s="273">
        <v>16</v>
      </c>
      <c r="I1387" s="273">
        <v>47</v>
      </c>
      <c r="J1387" s="274">
        <v>19</v>
      </c>
    </row>
    <row r="1388" spans="1:10" ht="18" customHeight="1" x14ac:dyDescent="0.35">
      <c r="A1388" s="274">
        <f>MATCH(B1388,STUDIES!$A$3:$A$502,0)</f>
        <v>34</v>
      </c>
      <c r="B1388" s="272" t="s">
        <v>709</v>
      </c>
      <c r="D1388" s="269" t="s">
        <v>1083</v>
      </c>
      <c r="E1388" s="272" t="s">
        <v>1244</v>
      </c>
      <c r="F1388" s="155" t="str">
        <f>_xlfn.XLOOKUP(B1388,STUDIES!$A$3:$A$1063,STUDIES!$G$3:$G$1063,"Not Found!")</f>
        <v>A</v>
      </c>
      <c r="G1388" s="273" t="s">
        <v>147</v>
      </c>
      <c r="H1388" s="273">
        <v>16</v>
      </c>
      <c r="I1388" s="273">
        <v>45</v>
      </c>
      <c r="J1388" s="274">
        <v>12</v>
      </c>
    </row>
    <row r="1389" spans="1:10" ht="18" customHeight="1" x14ac:dyDescent="0.35">
      <c r="A1389" s="274">
        <f>MATCH(B1389,STUDIES!$A$3:$A$502,0)</f>
        <v>34</v>
      </c>
      <c r="B1389" s="272" t="s">
        <v>709</v>
      </c>
      <c r="D1389" s="281" t="s">
        <v>148</v>
      </c>
      <c r="E1389" s="272" t="s">
        <v>1244</v>
      </c>
      <c r="F1389" s="155" t="str">
        <f>_xlfn.XLOOKUP(B1389,STUDIES!$A$3:$A$1063,STUDIES!$G$3:$G$1063,"Not Found!")</f>
        <v>A</v>
      </c>
      <c r="G1389" s="273" t="s">
        <v>147</v>
      </c>
      <c r="H1389" s="273">
        <v>16</v>
      </c>
      <c r="I1389" s="273">
        <v>44</v>
      </c>
      <c r="J1389" s="274">
        <v>5</v>
      </c>
    </row>
    <row r="1390" spans="1:10" ht="18" customHeight="1" x14ac:dyDescent="0.35">
      <c r="A1390" s="274">
        <f>MATCH(B1390,STUDIES!$A$3:$A$502,0)</f>
        <v>34</v>
      </c>
      <c r="B1390" s="272" t="s">
        <v>709</v>
      </c>
      <c r="D1390" s="281" t="s">
        <v>1081</v>
      </c>
      <c r="E1390" s="272" t="s">
        <v>1244</v>
      </c>
      <c r="F1390" s="155" t="str">
        <f>_xlfn.XLOOKUP(B1390,STUDIES!$A$3:$A$1063,STUDIES!$G$3:$G$1063,"Not Found!")</f>
        <v>A</v>
      </c>
      <c r="G1390" s="273" t="s">
        <v>152</v>
      </c>
      <c r="H1390" s="273">
        <v>24</v>
      </c>
      <c r="I1390" s="273">
        <v>40</v>
      </c>
      <c r="J1390" s="274">
        <v>13</v>
      </c>
    </row>
    <row r="1391" spans="1:10" ht="18" customHeight="1" x14ac:dyDescent="0.35">
      <c r="A1391" s="274">
        <f>MATCH(B1391,STUDIES!$A$3:$A$502,0)</f>
        <v>34</v>
      </c>
      <c r="B1391" s="272" t="s">
        <v>709</v>
      </c>
      <c r="D1391" s="269" t="s">
        <v>1082</v>
      </c>
      <c r="E1391" s="272" t="s">
        <v>1244</v>
      </c>
      <c r="F1391" s="155" t="str">
        <f>_xlfn.XLOOKUP(B1391,STUDIES!$A$3:$A$1063,STUDIES!$G$3:$G$1063,"Not Found!")</f>
        <v>A</v>
      </c>
      <c r="G1391" s="273" t="s">
        <v>152</v>
      </c>
      <c r="H1391" s="273">
        <v>24</v>
      </c>
      <c r="I1391" s="273">
        <v>44</v>
      </c>
      <c r="J1391" s="274">
        <v>17</v>
      </c>
    </row>
    <row r="1392" spans="1:10" ht="18" customHeight="1" x14ac:dyDescent="0.35">
      <c r="A1392" s="274">
        <f>MATCH(B1392,STUDIES!$A$3:$A$502,0)</f>
        <v>34</v>
      </c>
      <c r="B1392" s="272" t="s">
        <v>709</v>
      </c>
      <c r="D1392" s="269" t="s">
        <v>1083</v>
      </c>
      <c r="E1392" s="272" t="s">
        <v>1244</v>
      </c>
      <c r="F1392" s="155" t="str">
        <f>_xlfn.XLOOKUP(B1392,STUDIES!$A$3:$A$1063,STUDIES!$G$3:$G$1063,"Not Found!")</f>
        <v>A</v>
      </c>
      <c r="G1392" s="273" t="s">
        <v>152</v>
      </c>
      <c r="H1392" s="273">
        <v>24</v>
      </c>
      <c r="I1392" s="273">
        <v>40</v>
      </c>
      <c r="J1392" s="274">
        <v>13</v>
      </c>
    </row>
    <row r="1393" spans="1:10" ht="18" customHeight="1" x14ac:dyDescent="0.35">
      <c r="A1393" s="274">
        <f>MATCH(B1393,STUDIES!$A$3:$A$502,0)</f>
        <v>34</v>
      </c>
      <c r="B1393" s="272" t="s">
        <v>709</v>
      </c>
      <c r="D1393" s="281" t="s">
        <v>148</v>
      </c>
      <c r="E1393" s="272" t="s">
        <v>1244</v>
      </c>
      <c r="F1393" s="155" t="str">
        <f>_xlfn.XLOOKUP(B1393,STUDIES!$A$3:$A$1063,STUDIES!$G$3:$G$1063,"Not Found!")</f>
        <v>A</v>
      </c>
      <c r="G1393" s="273" t="s">
        <v>152</v>
      </c>
      <c r="H1393" s="273">
        <v>24</v>
      </c>
      <c r="I1393" s="273">
        <v>38</v>
      </c>
      <c r="J1393" s="274">
        <v>6</v>
      </c>
    </row>
    <row r="1394" spans="1:10" ht="18" customHeight="1" x14ac:dyDescent="0.35">
      <c r="A1394" s="274">
        <f>MATCH(B1394,STUDIES!$A$3:$A$502,0)</f>
        <v>34</v>
      </c>
      <c r="B1394" s="272" t="s">
        <v>709</v>
      </c>
      <c r="D1394" s="281" t="s">
        <v>1081</v>
      </c>
      <c r="E1394" s="272" t="s">
        <v>1268</v>
      </c>
      <c r="F1394" s="155" t="str">
        <f>_xlfn.XLOOKUP(B1394,STUDIES!$A$3:$A$1063,STUDIES!$G$3:$G$1063,"Not Found!")</f>
        <v>A</v>
      </c>
      <c r="G1394" s="273" t="s">
        <v>147</v>
      </c>
      <c r="H1394" s="273">
        <v>16</v>
      </c>
      <c r="I1394" s="273">
        <v>46</v>
      </c>
      <c r="J1394" s="274">
        <v>9</v>
      </c>
    </row>
    <row r="1395" spans="1:10" ht="18" customHeight="1" x14ac:dyDescent="0.35">
      <c r="A1395" s="274">
        <f>MATCH(B1395,STUDIES!$A$3:$A$502,0)</f>
        <v>34</v>
      </c>
      <c r="B1395" s="272" t="s">
        <v>709</v>
      </c>
      <c r="D1395" s="269" t="s">
        <v>1082</v>
      </c>
      <c r="E1395" s="272" t="s">
        <v>1268</v>
      </c>
      <c r="F1395" s="155" t="str">
        <f>_xlfn.XLOOKUP(B1395,STUDIES!$A$3:$A$1063,STUDIES!$G$3:$G$1063,"Not Found!")</f>
        <v>A</v>
      </c>
      <c r="G1395" s="273" t="s">
        <v>147</v>
      </c>
      <c r="H1395" s="273">
        <v>16</v>
      </c>
      <c r="I1395" s="273">
        <v>47</v>
      </c>
      <c r="J1395" s="274">
        <v>19</v>
      </c>
    </row>
    <row r="1396" spans="1:10" ht="18" customHeight="1" x14ac:dyDescent="0.35">
      <c r="A1396" s="274">
        <f>MATCH(B1396,STUDIES!$A$3:$A$502,0)</f>
        <v>34</v>
      </c>
      <c r="B1396" s="272" t="s">
        <v>709</v>
      </c>
      <c r="D1396" s="269" t="s">
        <v>1083</v>
      </c>
      <c r="E1396" s="272" t="s">
        <v>1268</v>
      </c>
      <c r="F1396" s="155" t="str">
        <f>_xlfn.XLOOKUP(B1396,STUDIES!$A$3:$A$1063,STUDIES!$G$3:$G$1063,"Not Found!")</f>
        <v>A</v>
      </c>
      <c r="G1396" s="273" t="s">
        <v>147</v>
      </c>
      <c r="H1396" s="273">
        <v>16</v>
      </c>
      <c r="I1396" s="273">
        <v>45</v>
      </c>
      <c r="J1396" s="274">
        <v>15</v>
      </c>
    </row>
    <row r="1397" spans="1:10" ht="18" customHeight="1" x14ac:dyDescent="0.35">
      <c r="A1397" s="274">
        <f>MATCH(B1397,STUDIES!$A$3:$A$502,0)</f>
        <v>34</v>
      </c>
      <c r="B1397" s="272" t="s">
        <v>709</v>
      </c>
      <c r="D1397" s="281" t="s">
        <v>148</v>
      </c>
      <c r="E1397" s="272" t="s">
        <v>1268</v>
      </c>
      <c r="F1397" s="155" t="str">
        <f>_xlfn.XLOOKUP(B1397,STUDIES!$A$3:$A$1063,STUDIES!$G$3:$G$1063,"Not Found!")</f>
        <v>A</v>
      </c>
      <c r="G1397" s="273" t="s">
        <v>147</v>
      </c>
      <c r="H1397" s="273">
        <v>16</v>
      </c>
      <c r="I1397" s="273">
        <v>44</v>
      </c>
      <c r="J1397" s="274">
        <v>7</v>
      </c>
    </row>
    <row r="1398" spans="1:10" ht="18" customHeight="1" x14ac:dyDescent="0.35">
      <c r="A1398" s="274">
        <f>MATCH(B1398,STUDIES!$A$3:$A$502,0)</f>
        <v>34</v>
      </c>
      <c r="B1398" s="272" t="s">
        <v>709</v>
      </c>
      <c r="D1398" s="281" t="s">
        <v>1081</v>
      </c>
      <c r="E1398" s="272" t="s">
        <v>1268</v>
      </c>
      <c r="F1398" s="155" t="str">
        <f>_xlfn.XLOOKUP(B1398,STUDIES!$A$3:$A$1063,STUDIES!$G$3:$G$1063,"Not Found!")</f>
        <v>A</v>
      </c>
      <c r="G1398" s="273" t="s">
        <v>152</v>
      </c>
      <c r="H1398" s="273">
        <v>24</v>
      </c>
      <c r="I1398" s="273">
        <v>40</v>
      </c>
      <c r="J1398" s="274">
        <v>14</v>
      </c>
    </row>
    <row r="1399" spans="1:10" ht="18" customHeight="1" x14ac:dyDescent="0.35">
      <c r="A1399" s="274">
        <f>MATCH(B1399,STUDIES!$A$3:$A$502,0)</f>
        <v>34</v>
      </c>
      <c r="B1399" s="272" t="s">
        <v>709</v>
      </c>
      <c r="D1399" s="269" t="s">
        <v>1082</v>
      </c>
      <c r="E1399" s="272" t="s">
        <v>1268</v>
      </c>
      <c r="F1399" s="155" t="str">
        <f>_xlfn.XLOOKUP(B1399,STUDIES!$A$3:$A$1063,STUDIES!$G$3:$G$1063,"Not Found!")</f>
        <v>A</v>
      </c>
      <c r="G1399" s="273" t="s">
        <v>152</v>
      </c>
      <c r="H1399" s="273">
        <v>24</v>
      </c>
      <c r="I1399" s="273">
        <v>44</v>
      </c>
      <c r="J1399" s="274">
        <v>21</v>
      </c>
    </row>
    <row r="1400" spans="1:10" ht="18" customHeight="1" x14ac:dyDescent="0.35">
      <c r="A1400" s="274">
        <f>MATCH(B1400,STUDIES!$A$3:$A$502,0)</f>
        <v>34</v>
      </c>
      <c r="B1400" s="272" t="s">
        <v>709</v>
      </c>
      <c r="D1400" s="269" t="s">
        <v>1083</v>
      </c>
      <c r="E1400" s="272" t="s">
        <v>1268</v>
      </c>
      <c r="F1400" s="155" t="str">
        <f>_xlfn.XLOOKUP(B1400,STUDIES!$A$3:$A$1063,STUDIES!$G$3:$G$1063,"Not Found!")</f>
        <v>A</v>
      </c>
      <c r="G1400" s="273" t="s">
        <v>152</v>
      </c>
      <c r="H1400" s="273">
        <v>24</v>
      </c>
      <c r="I1400" s="273">
        <v>40</v>
      </c>
      <c r="J1400" s="274">
        <v>13</v>
      </c>
    </row>
    <row r="1401" spans="1:10" ht="18" customHeight="1" x14ac:dyDescent="0.35">
      <c r="A1401" s="274">
        <f>MATCH(B1401,STUDIES!$A$3:$A$502,0)</f>
        <v>34</v>
      </c>
      <c r="B1401" s="272" t="s">
        <v>709</v>
      </c>
      <c r="D1401" s="281" t="s">
        <v>148</v>
      </c>
      <c r="E1401" s="272" t="s">
        <v>1268</v>
      </c>
      <c r="F1401" s="155" t="str">
        <f>_xlfn.XLOOKUP(B1401,STUDIES!$A$3:$A$1063,STUDIES!$G$3:$G$1063,"Not Found!")</f>
        <v>A</v>
      </c>
      <c r="G1401" s="273" t="s">
        <v>152</v>
      </c>
      <c r="H1401" s="273">
        <v>24</v>
      </c>
      <c r="I1401" s="273">
        <v>38</v>
      </c>
      <c r="J1401" s="274">
        <v>12</v>
      </c>
    </row>
    <row r="1402" spans="1:10" ht="18" customHeight="1" x14ac:dyDescent="0.35">
      <c r="A1402" s="274">
        <f>MATCH(B1402,STUDIES!$A$3:$A$502,0)</f>
        <v>35</v>
      </c>
      <c r="B1402" s="272" t="s">
        <v>855</v>
      </c>
      <c r="D1402" s="281" t="s">
        <v>148</v>
      </c>
      <c r="E1402" s="272" t="s">
        <v>1258</v>
      </c>
      <c r="F1402" s="155" t="str">
        <f>_xlfn.XLOOKUP(B1402,STUDIES!$A$3:$A$1063,STUDIES!$G$3:$G$1063,"Not Found!")</f>
        <v>A</v>
      </c>
      <c r="G1402" s="273" t="s">
        <v>147</v>
      </c>
      <c r="H1402" s="273">
        <v>16</v>
      </c>
      <c r="I1402" s="273">
        <v>126</v>
      </c>
      <c r="J1402" s="274">
        <v>73</v>
      </c>
    </row>
    <row r="1403" spans="1:10" ht="18" customHeight="1" x14ac:dyDescent="0.35">
      <c r="A1403" s="274">
        <f>MATCH(B1403,STUDIES!$A$3:$A$502,0)</f>
        <v>35</v>
      </c>
      <c r="B1403" s="272" t="s">
        <v>855</v>
      </c>
      <c r="D1403" s="281" t="s">
        <v>1096</v>
      </c>
      <c r="E1403" s="272" t="s">
        <v>1258</v>
      </c>
      <c r="F1403" s="155" t="str">
        <f>_xlfn.XLOOKUP(B1403,STUDIES!$A$3:$A$1063,STUDIES!$G$3:$G$1063,"Not Found!")</f>
        <v>A</v>
      </c>
      <c r="G1403" s="273" t="s">
        <v>147</v>
      </c>
      <c r="H1403" s="273">
        <v>16</v>
      </c>
      <c r="I1403" s="273">
        <v>252</v>
      </c>
      <c r="J1403" s="274">
        <v>200</v>
      </c>
    </row>
    <row r="1404" spans="1:10" ht="18" customHeight="1" x14ac:dyDescent="0.35">
      <c r="A1404" s="274">
        <f>MATCH(B1404,STUDIES!$A$3:$A$502,0)</f>
        <v>35</v>
      </c>
      <c r="B1404" s="272" t="s">
        <v>855</v>
      </c>
      <c r="D1404" s="281" t="s">
        <v>148</v>
      </c>
      <c r="E1404" s="272" t="s">
        <v>1243</v>
      </c>
      <c r="F1404" s="155" t="str">
        <f>_xlfn.XLOOKUP(B1404,STUDIES!$A$3:$A$1063,STUDIES!$G$3:$G$1063,"Not Found!")</f>
        <v>A</v>
      </c>
      <c r="G1404" s="273" t="s">
        <v>147</v>
      </c>
      <c r="H1404" s="273">
        <v>16</v>
      </c>
      <c r="I1404" s="273">
        <v>126</v>
      </c>
      <c r="J1404" s="274">
        <v>45</v>
      </c>
    </row>
    <row r="1405" spans="1:10" ht="18" customHeight="1" x14ac:dyDescent="0.35">
      <c r="A1405" s="274">
        <f>MATCH(B1405,STUDIES!$A$3:$A$502,0)</f>
        <v>35</v>
      </c>
      <c r="B1405" s="272" t="s">
        <v>855</v>
      </c>
      <c r="D1405" s="281" t="s">
        <v>1096</v>
      </c>
      <c r="E1405" s="272" t="s">
        <v>1243</v>
      </c>
      <c r="F1405" s="155" t="str">
        <f>_xlfn.XLOOKUP(B1405,STUDIES!$A$3:$A$1063,STUDIES!$G$3:$G$1063,"Not Found!")</f>
        <v>A</v>
      </c>
      <c r="G1405" s="273" t="s">
        <v>147</v>
      </c>
      <c r="H1405" s="273">
        <v>16</v>
      </c>
      <c r="I1405" s="273">
        <v>252</v>
      </c>
      <c r="J1405" s="274">
        <v>141</v>
      </c>
    </row>
    <row r="1406" spans="1:10" ht="18" customHeight="1" x14ac:dyDescent="0.35">
      <c r="A1406" s="274">
        <f>MATCH(B1406,STUDIES!$A$3:$A$502,0)</f>
        <v>35</v>
      </c>
      <c r="B1406" s="272" t="s">
        <v>855</v>
      </c>
      <c r="D1406" s="281" t="s">
        <v>148</v>
      </c>
      <c r="E1406" s="272" t="s">
        <v>1244</v>
      </c>
      <c r="F1406" s="155" t="str">
        <f>_xlfn.XLOOKUP(B1406,STUDIES!$A$3:$A$1063,STUDIES!$G$3:$G$1063,"Not Found!")</f>
        <v>A</v>
      </c>
      <c r="G1406" s="273" t="s">
        <v>147</v>
      </c>
      <c r="H1406" s="273">
        <v>16</v>
      </c>
      <c r="I1406" s="273">
        <v>126</v>
      </c>
      <c r="J1406" s="274">
        <v>27</v>
      </c>
    </row>
    <row r="1407" spans="1:10" ht="18" customHeight="1" x14ac:dyDescent="0.35">
      <c r="A1407" s="274">
        <f>MATCH(B1407,STUDIES!$A$3:$A$502,0)</f>
        <v>35</v>
      </c>
      <c r="B1407" s="272" t="s">
        <v>855</v>
      </c>
      <c r="D1407" s="281" t="s">
        <v>1096</v>
      </c>
      <c r="E1407" s="272" t="s">
        <v>1244</v>
      </c>
      <c r="F1407" s="155" t="str">
        <f>_xlfn.XLOOKUP(B1407,STUDIES!$A$3:$A$1063,STUDIES!$G$3:$G$1063,"Not Found!")</f>
        <v>A</v>
      </c>
      <c r="G1407" s="273" t="s">
        <v>147</v>
      </c>
      <c r="H1407" s="273">
        <v>16</v>
      </c>
      <c r="I1407" s="273">
        <v>252</v>
      </c>
      <c r="J1407" s="274">
        <v>83</v>
      </c>
    </row>
    <row r="1408" spans="1:10" ht="18" customHeight="1" x14ac:dyDescent="0.35">
      <c r="A1408" s="274">
        <f>MATCH(B1408,STUDIES!$A$3:$A$502,0)</f>
        <v>35</v>
      </c>
      <c r="B1408" s="272" t="s">
        <v>855</v>
      </c>
      <c r="D1408" s="281" t="s">
        <v>148</v>
      </c>
      <c r="E1408" s="272" t="s">
        <v>1268</v>
      </c>
      <c r="F1408" s="155" t="str">
        <f>_xlfn.XLOOKUP(B1408,STUDIES!$A$3:$A$1063,STUDIES!$G$3:$G$1063,"Not Found!")</f>
        <v>A</v>
      </c>
      <c r="G1408" s="273" t="s">
        <v>147</v>
      </c>
      <c r="H1408" s="273">
        <v>16</v>
      </c>
      <c r="I1408" s="273">
        <v>126</v>
      </c>
      <c r="J1408" s="274">
        <v>33</v>
      </c>
    </row>
    <row r="1409" spans="1:10" ht="18" customHeight="1" x14ac:dyDescent="0.35">
      <c r="A1409" s="274">
        <f>MATCH(B1409,STUDIES!$A$3:$A$502,0)</f>
        <v>35</v>
      </c>
      <c r="B1409" s="272" t="s">
        <v>855</v>
      </c>
      <c r="D1409" s="281" t="s">
        <v>1096</v>
      </c>
      <c r="E1409" s="272" t="s">
        <v>1268</v>
      </c>
      <c r="F1409" s="155" t="str">
        <f>_xlfn.XLOOKUP(B1409,STUDIES!$A$3:$A$1063,STUDIES!$G$3:$G$1063,"Not Found!")</f>
        <v>A</v>
      </c>
      <c r="G1409" s="273" t="s">
        <v>147</v>
      </c>
      <c r="H1409" s="273">
        <v>16</v>
      </c>
      <c r="I1409" s="273">
        <v>252</v>
      </c>
      <c r="J1409" s="274">
        <v>98</v>
      </c>
    </row>
    <row r="1410" spans="1:10" ht="18" customHeight="1" x14ac:dyDescent="0.35">
      <c r="A1410" s="274">
        <f>MATCH(B1410,STUDIES!$A$3:$A$502,0)</f>
        <v>36</v>
      </c>
      <c r="B1410" s="272" t="s">
        <v>764</v>
      </c>
      <c r="D1410" s="281" t="s">
        <v>1042</v>
      </c>
      <c r="E1410" s="272" t="s">
        <v>1258</v>
      </c>
      <c r="F1410" s="155" t="str">
        <f>_xlfn.XLOOKUP(B1410,STUDIES!$A$3:$A$1063,STUDIES!$G$3:$G$1063,"Not Found!")</f>
        <v>A</v>
      </c>
      <c r="G1410" s="273" t="s">
        <v>147</v>
      </c>
      <c r="H1410" s="273">
        <v>16</v>
      </c>
      <c r="I1410" s="273">
        <v>127</v>
      </c>
      <c r="J1410" s="274">
        <v>33</v>
      </c>
    </row>
    <row r="1411" spans="1:10" ht="18" customHeight="1" x14ac:dyDescent="0.35">
      <c r="A1411" s="274">
        <f>MATCH(B1411,STUDIES!$A$3:$A$502,0)</f>
        <v>36</v>
      </c>
      <c r="B1411" s="272" t="s">
        <v>764</v>
      </c>
      <c r="D1411" s="281" t="s">
        <v>1043</v>
      </c>
      <c r="E1411" s="272" t="s">
        <v>1258</v>
      </c>
      <c r="F1411" s="155" t="str">
        <f>_xlfn.XLOOKUP(B1411,STUDIES!$A$3:$A$1063,STUDIES!$G$3:$G$1063,"Not Found!")</f>
        <v>A</v>
      </c>
      <c r="G1411" s="273" t="s">
        <v>147</v>
      </c>
      <c r="H1411" s="273">
        <v>16</v>
      </c>
      <c r="I1411" s="273">
        <v>123</v>
      </c>
      <c r="J1411" s="274">
        <v>37</v>
      </c>
    </row>
    <row r="1412" spans="1:10" ht="18" customHeight="1" x14ac:dyDescent="0.35">
      <c r="A1412" s="274">
        <f>MATCH(B1412,STUDIES!$A$3:$A$502,0)</f>
        <v>36</v>
      </c>
      <c r="B1412" s="272" t="s">
        <v>764</v>
      </c>
      <c r="D1412" s="281" t="s">
        <v>1044</v>
      </c>
      <c r="E1412" s="272" t="s">
        <v>1258</v>
      </c>
      <c r="F1412" s="155" t="str">
        <f>_xlfn.XLOOKUP(B1412,STUDIES!$A$3:$A$1063,STUDIES!$G$3:$G$1063,"Not Found!")</f>
        <v>A</v>
      </c>
      <c r="G1412" s="273" t="s">
        <v>147</v>
      </c>
      <c r="H1412" s="273">
        <v>16</v>
      </c>
      <c r="I1412" s="273">
        <v>125</v>
      </c>
      <c r="J1412" s="274">
        <v>52</v>
      </c>
    </row>
    <row r="1413" spans="1:10" ht="18" customHeight="1" x14ac:dyDescent="0.35">
      <c r="A1413" s="274">
        <f>MATCH(B1413,STUDIES!$A$3:$A$502,0)</f>
        <v>36</v>
      </c>
      <c r="B1413" s="272" t="s">
        <v>764</v>
      </c>
      <c r="D1413" s="281" t="s">
        <v>148</v>
      </c>
      <c r="E1413" s="272" t="s">
        <v>1258</v>
      </c>
      <c r="F1413" s="155" t="str">
        <f>_xlfn.XLOOKUP(B1413,STUDIES!$A$3:$A$1063,STUDIES!$G$3:$G$1063,"Not Found!")</f>
        <v>A</v>
      </c>
      <c r="G1413" s="273" t="s">
        <v>147</v>
      </c>
      <c r="H1413" s="273">
        <v>16</v>
      </c>
      <c r="I1413" s="273">
        <v>249</v>
      </c>
      <c r="J1413" s="274">
        <v>38</v>
      </c>
    </row>
    <row r="1414" spans="1:10" ht="18" customHeight="1" x14ac:dyDescent="0.35">
      <c r="A1414" s="274">
        <f>MATCH(B1414,STUDIES!$A$3:$A$502,0)</f>
        <v>36</v>
      </c>
      <c r="B1414" s="272" t="s">
        <v>764</v>
      </c>
      <c r="D1414" s="281" t="s">
        <v>1042</v>
      </c>
      <c r="E1414" s="272" t="s">
        <v>1243</v>
      </c>
      <c r="F1414" s="155" t="str">
        <f>_xlfn.XLOOKUP(B1414,STUDIES!$A$3:$A$1063,STUDIES!$G$3:$G$1063,"Not Found!")</f>
        <v>A</v>
      </c>
      <c r="G1414" s="273" t="s">
        <v>147</v>
      </c>
      <c r="H1414" s="273">
        <v>16</v>
      </c>
      <c r="I1414" s="273">
        <v>127</v>
      </c>
      <c r="J1414" s="274">
        <v>22</v>
      </c>
    </row>
    <row r="1415" spans="1:10" ht="18" customHeight="1" x14ac:dyDescent="0.35">
      <c r="A1415" s="274">
        <f>MATCH(B1415,STUDIES!$A$3:$A$502,0)</f>
        <v>36</v>
      </c>
      <c r="B1415" s="272" t="s">
        <v>764</v>
      </c>
      <c r="D1415" s="281" t="s">
        <v>1043</v>
      </c>
      <c r="E1415" s="272" t="s">
        <v>1243</v>
      </c>
      <c r="F1415" s="155" t="str">
        <f>_xlfn.XLOOKUP(B1415,STUDIES!$A$3:$A$1063,STUDIES!$G$3:$G$1063,"Not Found!")</f>
        <v>A</v>
      </c>
      <c r="G1415" s="273" t="s">
        <v>147</v>
      </c>
      <c r="H1415" s="273">
        <v>16</v>
      </c>
      <c r="I1415" s="273">
        <v>123</v>
      </c>
      <c r="J1415" s="274">
        <v>23</v>
      </c>
    </row>
    <row r="1416" spans="1:10" ht="18" customHeight="1" x14ac:dyDescent="0.35">
      <c r="A1416" s="274">
        <f>MATCH(B1416,STUDIES!$A$3:$A$502,0)</f>
        <v>36</v>
      </c>
      <c r="B1416" s="272" t="s">
        <v>764</v>
      </c>
      <c r="D1416" s="281" t="s">
        <v>1044</v>
      </c>
      <c r="E1416" s="272" t="s">
        <v>1243</v>
      </c>
      <c r="F1416" s="155" t="str">
        <f>_xlfn.XLOOKUP(B1416,STUDIES!$A$3:$A$1063,STUDIES!$G$3:$G$1063,"Not Found!")</f>
        <v>A</v>
      </c>
      <c r="G1416" s="273" t="s">
        <v>147</v>
      </c>
      <c r="H1416" s="273">
        <v>16</v>
      </c>
      <c r="I1416" s="273">
        <v>125</v>
      </c>
      <c r="J1416" s="274">
        <v>31</v>
      </c>
    </row>
    <row r="1417" spans="1:10" ht="18" customHeight="1" x14ac:dyDescent="0.35">
      <c r="A1417" s="274">
        <f>MATCH(B1417,STUDIES!$A$3:$A$502,0)</f>
        <v>36</v>
      </c>
      <c r="B1417" s="272" t="s">
        <v>764</v>
      </c>
      <c r="D1417" s="281" t="s">
        <v>148</v>
      </c>
      <c r="E1417" s="272" t="s">
        <v>1243</v>
      </c>
      <c r="F1417" s="155" t="str">
        <f>_xlfn.XLOOKUP(B1417,STUDIES!$A$3:$A$1063,STUDIES!$G$3:$G$1063,"Not Found!")</f>
        <v>A</v>
      </c>
      <c r="G1417" s="273" t="s">
        <v>147</v>
      </c>
      <c r="H1417" s="273">
        <v>16</v>
      </c>
      <c r="I1417" s="273">
        <v>249</v>
      </c>
      <c r="J1417" s="274">
        <v>12</v>
      </c>
    </row>
    <row r="1418" spans="1:10" ht="18" customHeight="1" x14ac:dyDescent="0.35">
      <c r="A1418" s="274">
        <f>MATCH(B1418,STUDIES!$A$3:$A$502,0)</f>
        <v>36</v>
      </c>
      <c r="B1418" s="272" t="s">
        <v>764</v>
      </c>
      <c r="D1418" s="281" t="s">
        <v>1042</v>
      </c>
      <c r="E1418" s="272" t="s">
        <v>1244</v>
      </c>
      <c r="F1418" s="155" t="str">
        <f>_xlfn.XLOOKUP(B1418,STUDIES!$A$3:$A$1063,STUDIES!$G$3:$G$1063,"Not Found!")</f>
        <v>A</v>
      </c>
      <c r="G1418" s="273" t="s">
        <v>147</v>
      </c>
      <c r="H1418" s="273">
        <v>16</v>
      </c>
      <c r="I1418" s="273">
        <v>127</v>
      </c>
      <c r="J1418" s="274">
        <v>11</v>
      </c>
    </row>
    <row r="1419" spans="1:10" ht="18" customHeight="1" x14ac:dyDescent="0.35">
      <c r="A1419" s="274">
        <f>MATCH(B1419,STUDIES!$A$3:$A$502,0)</f>
        <v>36</v>
      </c>
      <c r="B1419" s="272" t="s">
        <v>764</v>
      </c>
      <c r="D1419" s="281" t="s">
        <v>1043</v>
      </c>
      <c r="E1419" s="272" t="s">
        <v>1244</v>
      </c>
      <c r="F1419" s="155" t="str">
        <f>_xlfn.XLOOKUP(B1419,STUDIES!$A$3:$A$1063,STUDIES!$G$3:$G$1063,"Not Found!")</f>
        <v>A</v>
      </c>
      <c r="G1419" s="273" t="s">
        <v>147</v>
      </c>
      <c r="H1419" s="273">
        <v>16</v>
      </c>
      <c r="I1419" s="273">
        <v>123</v>
      </c>
      <c r="J1419" s="274">
        <v>13</v>
      </c>
    </row>
    <row r="1420" spans="1:10" ht="18" customHeight="1" x14ac:dyDescent="0.35">
      <c r="A1420" s="274">
        <f>MATCH(B1420,STUDIES!$A$3:$A$502,0)</f>
        <v>36</v>
      </c>
      <c r="B1420" s="272" t="s">
        <v>764</v>
      </c>
      <c r="D1420" s="281" t="s">
        <v>1044</v>
      </c>
      <c r="E1420" s="272" t="s">
        <v>1244</v>
      </c>
      <c r="F1420" s="155" t="str">
        <f>_xlfn.XLOOKUP(B1420,STUDIES!$A$3:$A$1063,STUDIES!$G$3:$G$1063,"Not Found!")</f>
        <v>A</v>
      </c>
      <c r="G1420" s="273" t="s">
        <v>147</v>
      </c>
      <c r="H1420" s="273">
        <v>16</v>
      </c>
      <c r="I1420" s="273">
        <v>125</v>
      </c>
      <c r="J1420" s="274">
        <v>20</v>
      </c>
    </row>
    <row r="1421" spans="1:10" ht="18" customHeight="1" x14ac:dyDescent="0.35">
      <c r="A1421" s="274">
        <f>MATCH(B1421,STUDIES!$A$3:$A$502,0)</f>
        <v>36</v>
      </c>
      <c r="B1421" s="272" t="s">
        <v>764</v>
      </c>
      <c r="D1421" s="281" t="s">
        <v>148</v>
      </c>
      <c r="E1421" s="272" t="s">
        <v>1244</v>
      </c>
      <c r="F1421" s="155" t="str">
        <f>_xlfn.XLOOKUP(B1421,STUDIES!$A$3:$A$1063,STUDIES!$G$3:$G$1063,"Not Found!")</f>
        <v>A</v>
      </c>
      <c r="G1421" s="273" t="s">
        <v>147</v>
      </c>
      <c r="H1421" s="273">
        <v>16</v>
      </c>
      <c r="I1421" s="273">
        <v>249</v>
      </c>
      <c r="J1421" s="274">
        <v>12</v>
      </c>
    </row>
    <row r="1422" spans="1:10" ht="18" customHeight="1" x14ac:dyDescent="0.35">
      <c r="A1422" s="274">
        <f>MATCH(B1422,STUDIES!$A$3:$A$502,0)</f>
        <v>36</v>
      </c>
      <c r="B1422" s="272" t="s">
        <v>764</v>
      </c>
      <c r="D1422" s="281" t="s">
        <v>1042</v>
      </c>
      <c r="E1422" s="272" t="s">
        <v>1268</v>
      </c>
      <c r="F1422" s="155" t="str">
        <f>_xlfn.XLOOKUP(B1422,STUDIES!$A$3:$A$1063,STUDIES!$G$3:$G$1063,"Not Found!")</f>
        <v>A</v>
      </c>
      <c r="G1422" s="273" t="s">
        <v>147</v>
      </c>
      <c r="H1422" s="273">
        <v>16</v>
      </c>
      <c r="I1422" s="273">
        <v>127</v>
      </c>
      <c r="J1422" s="274">
        <v>15</v>
      </c>
    </row>
    <row r="1423" spans="1:10" ht="18" customHeight="1" x14ac:dyDescent="0.35">
      <c r="A1423" s="274">
        <f>MATCH(B1423,STUDIES!$A$3:$A$502,0)</f>
        <v>36</v>
      </c>
      <c r="B1423" s="272" t="s">
        <v>764</v>
      </c>
      <c r="D1423" s="281" t="s">
        <v>1043</v>
      </c>
      <c r="E1423" s="272" t="s">
        <v>1268</v>
      </c>
      <c r="F1423" s="155" t="str">
        <f>_xlfn.XLOOKUP(B1423,STUDIES!$A$3:$A$1063,STUDIES!$G$3:$G$1063,"Not Found!")</f>
        <v>A</v>
      </c>
      <c r="G1423" s="273" t="s">
        <v>147</v>
      </c>
      <c r="H1423" s="273">
        <v>16</v>
      </c>
      <c r="I1423" s="273">
        <v>123</v>
      </c>
      <c r="J1423" s="274">
        <v>14</v>
      </c>
    </row>
    <row r="1424" spans="1:10" ht="18" customHeight="1" x14ac:dyDescent="0.35">
      <c r="A1424" s="274">
        <f>MATCH(B1424,STUDIES!$A$3:$A$502,0)</f>
        <v>36</v>
      </c>
      <c r="B1424" s="272" t="s">
        <v>764</v>
      </c>
      <c r="D1424" s="281" t="s">
        <v>1044</v>
      </c>
      <c r="E1424" s="272" t="s">
        <v>1268</v>
      </c>
      <c r="F1424" s="155" t="str">
        <f>_xlfn.XLOOKUP(B1424,STUDIES!$A$3:$A$1063,STUDIES!$G$3:$G$1063,"Not Found!")</f>
        <v>A</v>
      </c>
      <c r="G1424" s="273" t="s">
        <v>147</v>
      </c>
      <c r="H1424" s="273">
        <v>16</v>
      </c>
      <c r="I1424" s="273">
        <v>125</v>
      </c>
      <c r="J1424" s="274">
        <v>21</v>
      </c>
    </row>
    <row r="1425" spans="1:10" ht="18" customHeight="1" x14ac:dyDescent="0.35">
      <c r="A1425" s="274">
        <f>MATCH(B1425,STUDIES!$A$3:$A$502,0)</f>
        <v>36</v>
      </c>
      <c r="B1425" s="272" t="s">
        <v>764</v>
      </c>
      <c r="D1425" s="281" t="s">
        <v>148</v>
      </c>
      <c r="E1425" s="272" t="s">
        <v>1268</v>
      </c>
      <c r="F1425" s="155" t="str">
        <f>_xlfn.XLOOKUP(B1425,STUDIES!$A$3:$A$1063,STUDIES!$G$3:$G$1063,"Not Found!")</f>
        <v>A</v>
      </c>
      <c r="G1425" s="273" t="s">
        <v>147</v>
      </c>
      <c r="H1425" s="273">
        <v>16</v>
      </c>
      <c r="I1425" s="273">
        <v>249</v>
      </c>
      <c r="J1425" s="274">
        <v>12</v>
      </c>
    </row>
    <row r="1426" spans="1:10" ht="18" customHeight="1" x14ac:dyDescent="0.35">
      <c r="A1426" s="274">
        <f>MATCH(B1426,STUDIES!$A$3:$A$502,0)</f>
        <v>37</v>
      </c>
      <c r="B1426" s="272" t="s">
        <v>774</v>
      </c>
      <c r="D1426" s="281" t="s">
        <v>1042</v>
      </c>
      <c r="E1426" s="272" t="s">
        <v>1258</v>
      </c>
      <c r="F1426" s="155" t="str">
        <f>_xlfn.XLOOKUP(B1426,STUDIES!$A$3:$A$1063,STUDIES!$G$3:$G$1063,"Not Found!")</f>
        <v>A</v>
      </c>
      <c r="G1426" s="273" t="s">
        <v>147</v>
      </c>
      <c r="H1426" s="273">
        <v>16</v>
      </c>
      <c r="I1426" s="273">
        <v>125</v>
      </c>
      <c r="J1426" s="274">
        <v>23</v>
      </c>
    </row>
    <row r="1427" spans="1:10" ht="18" customHeight="1" x14ac:dyDescent="0.35">
      <c r="A1427" s="274">
        <f>MATCH(B1427,STUDIES!$A$3:$A$502,0)</f>
        <v>37</v>
      </c>
      <c r="B1427" s="272" t="s">
        <v>774</v>
      </c>
      <c r="D1427" s="281" t="s">
        <v>1043</v>
      </c>
      <c r="E1427" s="272" t="s">
        <v>1258</v>
      </c>
      <c r="F1427" s="155" t="str">
        <f>_xlfn.XLOOKUP(B1427,STUDIES!$A$3:$A$1063,STUDIES!$G$3:$G$1063,"Not Found!")</f>
        <v>A</v>
      </c>
      <c r="G1427" s="273" t="s">
        <v>147</v>
      </c>
      <c r="H1427" s="273">
        <v>16</v>
      </c>
      <c r="I1427" s="273">
        <v>123</v>
      </c>
      <c r="J1427" s="274">
        <v>34</v>
      </c>
    </row>
    <row r="1428" spans="1:10" ht="18" customHeight="1" x14ac:dyDescent="0.35">
      <c r="A1428" s="274">
        <f>MATCH(B1428,STUDIES!$A$3:$A$502,0)</f>
        <v>37</v>
      </c>
      <c r="B1428" s="272" t="s">
        <v>774</v>
      </c>
      <c r="D1428" s="281" t="s">
        <v>1044</v>
      </c>
      <c r="E1428" s="272" t="s">
        <v>1258</v>
      </c>
      <c r="F1428" s="155" t="str">
        <f>_xlfn.XLOOKUP(B1428,STUDIES!$A$3:$A$1063,STUDIES!$G$3:$G$1063,"Not Found!")</f>
        <v>A</v>
      </c>
      <c r="G1428" s="273" t="s">
        <v>147</v>
      </c>
      <c r="H1428" s="273">
        <v>16</v>
      </c>
      <c r="I1428" s="273">
        <v>123</v>
      </c>
      <c r="J1428" s="274">
        <v>36</v>
      </c>
    </row>
    <row r="1429" spans="1:10" ht="18" customHeight="1" x14ac:dyDescent="0.35">
      <c r="A1429" s="274">
        <f>MATCH(B1429,STUDIES!$A$3:$A$502,0)</f>
        <v>37</v>
      </c>
      <c r="B1429" s="272" t="s">
        <v>774</v>
      </c>
      <c r="D1429" s="281" t="s">
        <v>148</v>
      </c>
      <c r="E1429" s="272" t="s">
        <v>1258</v>
      </c>
      <c r="F1429" s="155" t="str">
        <f>_xlfn.XLOOKUP(B1429,STUDIES!$A$3:$A$1063,STUDIES!$G$3:$G$1063,"Not Found!")</f>
        <v>A</v>
      </c>
      <c r="G1429" s="273" t="s">
        <v>147</v>
      </c>
      <c r="H1429" s="273">
        <v>16</v>
      </c>
      <c r="I1429" s="273">
        <v>244</v>
      </c>
      <c r="J1429" s="274">
        <v>30</v>
      </c>
    </row>
    <row r="1430" spans="1:10" ht="18" customHeight="1" x14ac:dyDescent="0.35">
      <c r="A1430" s="274">
        <f>MATCH(B1430,STUDIES!$A$3:$A$502,0)</f>
        <v>37</v>
      </c>
      <c r="B1430" s="272" t="s">
        <v>774</v>
      </c>
      <c r="D1430" s="281" t="s">
        <v>1042</v>
      </c>
      <c r="E1430" s="272" t="s">
        <v>1243</v>
      </c>
      <c r="F1430" s="155" t="str">
        <f>_xlfn.XLOOKUP(B1430,STUDIES!$A$3:$A$1063,STUDIES!$G$3:$G$1063,"Not Found!")</f>
        <v>A</v>
      </c>
      <c r="G1430" s="273" t="s">
        <v>147</v>
      </c>
      <c r="H1430" s="273">
        <v>16</v>
      </c>
      <c r="I1430" s="273">
        <v>125</v>
      </c>
      <c r="J1430" s="274">
        <v>36</v>
      </c>
    </row>
    <row r="1431" spans="1:10" ht="18" customHeight="1" x14ac:dyDescent="0.35">
      <c r="A1431" s="274">
        <f>MATCH(B1431,STUDIES!$A$3:$A$502,0)</f>
        <v>37</v>
      </c>
      <c r="B1431" s="272" t="s">
        <v>774</v>
      </c>
      <c r="D1431" s="281" t="s">
        <v>1043</v>
      </c>
      <c r="E1431" s="272" t="s">
        <v>1243</v>
      </c>
      <c r="F1431" s="155" t="str">
        <f>_xlfn.XLOOKUP(B1431,STUDIES!$A$3:$A$1063,STUDIES!$G$3:$G$1063,"Not Found!")</f>
        <v>A</v>
      </c>
      <c r="G1431" s="273" t="s">
        <v>147</v>
      </c>
      <c r="H1431" s="273">
        <v>16</v>
      </c>
      <c r="I1431" s="273">
        <v>123</v>
      </c>
      <c r="J1431" s="274">
        <v>40</v>
      </c>
    </row>
    <row r="1432" spans="1:10" ht="18" customHeight="1" x14ac:dyDescent="0.35">
      <c r="A1432" s="274">
        <f>MATCH(B1432,STUDIES!$A$3:$A$502,0)</f>
        <v>37</v>
      </c>
      <c r="B1432" s="272" t="s">
        <v>774</v>
      </c>
      <c r="D1432" s="281" t="s">
        <v>1044</v>
      </c>
      <c r="E1432" s="272" t="s">
        <v>1243</v>
      </c>
      <c r="F1432" s="155" t="str">
        <f>_xlfn.XLOOKUP(B1432,STUDIES!$A$3:$A$1063,STUDIES!$G$3:$G$1063,"Not Found!")</f>
        <v>A</v>
      </c>
      <c r="G1432" s="273" t="s">
        <v>147</v>
      </c>
      <c r="H1432" s="273">
        <v>16</v>
      </c>
      <c r="I1432" s="273">
        <v>123</v>
      </c>
      <c r="J1432" s="274">
        <v>45</v>
      </c>
    </row>
    <row r="1433" spans="1:10" ht="18" customHeight="1" x14ac:dyDescent="0.35">
      <c r="A1433" s="274">
        <f>MATCH(B1433,STUDIES!$A$3:$A$502,0)</f>
        <v>37</v>
      </c>
      <c r="B1433" s="272" t="s">
        <v>774</v>
      </c>
      <c r="D1433" s="281" t="s">
        <v>148</v>
      </c>
      <c r="E1433" s="272" t="s">
        <v>1243</v>
      </c>
      <c r="F1433" s="155" t="str">
        <f>_xlfn.XLOOKUP(B1433,STUDIES!$A$3:$A$1063,STUDIES!$G$3:$G$1063,"Not Found!")</f>
        <v>A</v>
      </c>
      <c r="G1433" s="273" t="s">
        <v>147</v>
      </c>
      <c r="H1433" s="273">
        <v>16</v>
      </c>
      <c r="I1433" s="273">
        <v>244</v>
      </c>
      <c r="J1433" s="274">
        <v>49</v>
      </c>
    </row>
    <row r="1434" spans="1:10" ht="18" customHeight="1" x14ac:dyDescent="0.35">
      <c r="A1434" s="274">
        <f>MATCH(B1434,STUDIES!$A$3:$A$502,0)</f>
        <v>37</v>
      </c>
      <c r="B1434" s="272" t="s">
        <v>774</v>
      </c>
      <c r="D1434" s="281" t="s">
        <v>1042</v>
      </c>
      <c r="E1434" s="272" t="s">
        <v>1244</v>
      </c>
      <c r="F1434" s="155" t="str">
        <f>_xlfn.XLOOKUP(B1434,STUDIES!$A$3:$A$1063,STUDIES!$G$3:$G$1063,"Not Found!")</f>
        <v>A</v>
      </c>
      <c r="G1434" s="273" t="s">
        <v>147</v>
      </c>
      <c r="H1434" s="273">
        <v>16</v>
      </c>
      <c r="I1434" s="273">
        <v>125</v>
      </c>
      <c r="J1434" s="274">
        <v>15</v>
      </c>
    </row>
    <row r="1435" spans="1:10" ht="18" customHeight="1" x14ac:dyDescent="0.35">
      <c r="A1435" s="274">
        <f>MATCH(B1435,STUDIES!$A$3:$A$502,0)</f>
        <v>37</v>
      </c>
      <c r="B1435" s="272" t="s">
        <v>774</v>
      </c>
      <c r="D1435" s="281" t="s">
        <v>1043</v>
      </c>
      <c r="E1435" s="272" t="s">
        <v>1244</v>
      </c>
      <c r="F1435" s="155" t="str">
        <f>_xlfn.XLOOKUP(B1435,STUDIES!$A$3:$A$1063,STUDIES!$G$3:$G$1063,"Not Found!")</f>
        <v>A</v>
      </c>
      <c r="G1435" s="273" t="s">
        <v>147</v>
      </c>
      <c r="H1435" s="273">
        <v>16</v>
      </c>
      <c r="I1435" s="273">
        <v>123</v>
      </c>
      <c r="J1435" s="274">
        <v>17</v>
      </c>
    </row>
    <row r="1436" spans="1:10" ht="18" customHeight="1" x14ac:dyDescent="0.35">
      <c r="A1436" s="274">
        <f>MATCH(B1436,STUDIES!$A$3:$A$502,0)</f>
        <v>37</v>
      </c>
      <c r="B1436" s="272" t="s">
        <v>774</v>
      </c>
      <c r="D1436" s="281" t="s">
        <v>1044</v>
      </c>
      <c r="E1436" s="272" t="s">
        <v>1244</v>
      </c>
      <c r="F1436" s="155" t="str">
        <f>_xlfn.XLOOKUP(B1436,STUDIES!$A$3:$A$1063,STUDIES!$G$3:$G$1063,"Not Found!")</f>
        <v>A</v>
      </c>
      <c r="G1436" s="273" t="s">
        <v>147</v>
      </c>
      <c r="H1436" s="273">
        <v>16</v>
      </c>
      <c r="I1436" s="273">
        <v>123</v>
      </c>
      <c r="J1436" s="274">
        <v>25</v>
      </c>
    </row>
    <row r="1437" spans="1:10" ht="18" customHeight="1" x14ac:dyDescent="0.35">
      <c r="A1437" s="274">
        <f>MATCH(B1437,STUDIES!$A$3:$A$502,0)</f>
        <v>37</v>
      </c>
      <c r="B1437" s="272" t="s">
        <v>774</v>
      </c>
      <c r="D1437" s="281" t="s">
        <v>148</v>
      </c>
      <c r="E1437" s="272" t="s">
        <v>1244</v>
      </c>
      <c r="F1437" s="155" t="str">
        <f>_xlfn.XLOOKUP(B1437,STUDIES!$A$3:$A$1063,STUDIES!$G$3:$G$1063,"Not Found!")</f>
        <v>A</v>
      </c>
      <c r="G1437" s="273" t="s">
        <v>147</v>
      </c>
      <c r="H1437" s="273">
        <v>16</v>
      </c>
      <c r="I1437" s="273">
        <v>244</v>
      </c>
      <c r="J1437" s="274">
        <v>17</v>
      </c>
    </row>
    <row r="1438" spans="1:10" ht="18" customHeight="1" x14ac:dyDescent="0.35">
      <c r="A1438" s="274">
        <f>MATCH(B1438,STUDIES!$A$3:$A$502,0)</f>
        <v>37</v>
      </c>
      <c r="B1438" s="272" t="s">
        <v>774</v>
      </c>
      <c r="D1438" s="281" t="s">
        <v>1042</v>
      </c>
      <c r="E1438" s="272" t="s">
        <v>1268</v>
      </c>
      <c r="F1438" s="155" t="str">
        <f>_xlfn.XLOOKUP(B1438,STUDIES!$A$3:$A$1063,STUDIES!$G$3:$G$1063,"Not Found!")</f>
        <v>A</v>
      </c>
      <c r="G1438" s="273" t="s">
        <v>147</v>
      </c>
      <c r="H1438" s="273">
        <v>16</v>
      </c>
      <c r="I1438" s="273">
        <v>125</v>
      </c>
      <c r="J1438" s="274">
        <v>21</v>
      </c>
    </row>
    <row r="1439" spans="1:10" ht="18" customHeight="1" x14ac:dyDescent="0.35">
      <c r="A1439" s="274">
        <f>MATCH(B1439,STUDIES!$A$3:$A$502,0)</f>
        <v>37</v>
      </c>
      <c r="B1439" s="272" t="s">
        <v>774</v>
      </c>
      <c r="D1439" s="281" t="s">
        <v>1043</v>
      </c>
      <c r="E1439" s="272" t="s">
        <v>1268</v>
      </c>
      <c r="F1439" s="155" t="str">
        <f>_xlfn.XLOOKUP(B1439,STUDIES!$A$3:$A$1063,STUDIES!$G$3:$G$1063,"Not Found!")</f>
        <v>A</v>
      </c>
      <c r="G1439" s="273" t="s">
        <v>147</v>
      </c>
      <c r="H1439" s="273">
        <v>16</v>
      </c>
      <c r="I1439" s="273">
        <v>123</v>
      </c>
      <c r="J1439" s="274">
        <v>21</v>
      </c>
    </row>
    <row r="1440" spans="1:10" ht="18" customHeight="1" x14ac:dyDescent="0.35">
      <c r="A1440" s="274">
        <f>MATCH(B1440,STUDIES!$A$3:$A$502,0)</f>
        <v>37</v>
      </c>
      <c r="B1440" s="272" t="s">
        <v>774</v>
      </c>
      <c r="D1440" s="281" t="s">
        <v>1044</v>
      </c>
      <c r="E1440" s="272" t="s">
        <v>1268</v>
      </c>
      <c r="F1440" s="155" t="str">
        <f>_xlfn.XLOOKUP(B1440,STUDIES!$A$3:$A$1063,STUDIES!$G$3:$G$1063,"Not Found!")</f>
        <v>A</v>
      </c>
      <c r="G1440" s="273" t="s">
        <v>147</v>
      </c>
      <c r="H1440" s="273">
        <v>16</v>
      </c>
      <c r="I1440" s="273">
        <v>123</v>
      </c>
      <c r="J1440" s="274">
        <v>28</v>
      </c>
    </row>
    <row r="1441" spans="1:10" ht="18" customHeight="1" x14ac:dyDescent="0.35">
      <c r="A1441" s="274">
        <f>MATCH(B1441,STUDIES!$A$3:$A$502,0)</f>
        <v>37</v>
      </c>
      <c r="B1441" s="272" t="s">
        <v>774</v>
      </c>
      <c r="D1441" s="281" t="s">
        <v>148</v>
      </c>
      <c r="E1441" s="272" t="s">
        <v>1268</v>
      </c>
      <c r="F1441" s="155" t="str">
        <f>_xlfn.XLOOKUP(B1441,STUDIES!$A$3:$A$1063,STUDIES!$G$3:$G$1063,"Not Found!")</f>
        <v>A</v>
      </c>
      <c r="G1441" s="273" t="s">
        <v>147</v>
      </c>
      <c r="H1441" s="273">
        <v>16</v>
      </c>
      <c r="I1441" s="273">
        <v>244</v>
      </c>
      <c r="J1441" s="274">
        <v>25</v>
      </c>
    </row>
    <row r="1442" spans="1:10" ht="18" customHeight="1" x14ac:dyDescent="0.35">
      <c r="A1442" s="274">
        <f>MATCH(B1442,STUDIES!$A$3:$A$502,0)</f>
        <v>38</v>
      </c>
      <c r="B1442" s="272" t="s">
        <v>900</v>
      </c>
      <c r="D1442" s="281" t="s">
        <v>1056</v>
      </c>
      <c r="E1442" s="272" t="s">
        <v>1258</v>
      </c>
      <c r="F1442" s="155" t="str">
        <f>_xlfn.XLOOKUP(B1442,STUDIES!$A$3:$A$1063,STUDIES!$G$3:$G$1063,"Not Found!")</f>
        <v>A</v>
      </c>
      <c r="G1442" s="273" t="s">
        <v>147</v>
      </c>
      <c r="H1442" s="273">
        <v>16</v>
      </c>
      <c r="I1442" s="273">
        <v>224</v>
      </c>
      <c r="J1442" s="274">
        <v>154</v>
      </c>
    </row>
    <row r="1443" spans="1:10" ht="18" customHeight="1" x14ac:dyDescent="0.35">
      <c r="A1443" s="274">
        <f>MATCH(B1443,STUDIES!$A$3:$A$502,0)</f>
        <v>38</v>
      </c>
      <c r="B1443" s="272" t="s">
        <v>900</v>
      </c>
      <c r="D1443" s="281" t="s">
        <v>1059</v>
      </c>
      <c r="E1443" s="272" t="s">
        <v>1258</v>
      </c>
      <c r="F1443" s="155" t="str">
        <f>_xlfn.XLOOKUP(B1443,STUDIES!$A$3:$A$1063,STUDIES!$G$3:$G$1063,"Not Found!")</f>
        <v>A</v>
      </c>
      <c r="G1443" s="273" t="s">
        <v>147</v>
      </c>
      <c r="H1443" s="273">
        <v>16</v>
      </c>
      <c r="I1443" s="273">
        <v>223</v>
      </c>
      <c r="J1443" s="274">
        <v>136</v>
      </c>
    </row>
    <row r="1444" spans="1:10" ht="18" customHeight="1" x14ac:dyDescent="0.35">
      <c r="A1444" s="274">
        <f>MATCH(B1444,STUDIES!$A$3:$A$502,0)</f>
        <v>38</v>
      </c>
      <c r="B1444" s="272" t="s">
        <v>900</v>
      </c>
      <c r="D1444" s="281" t="s">
        <v>148</v>
      </c>
      <c r="E1444" s="272" t="s">
        <v>1258</v>
      </c>
      <c r="F1444" s="155" t="str">
        <f>_xlfn.XLOOKUP(B1444,STUDIES!$A$3:$A$1063,STUDIES!$G$3:$G$1063,"Not Found!")</f>
        <v>A</v>
      </c>
      <c r="G1444" s="273" t="s">
        <v>147</v>
      </c>
      <c r="H1444" s="273">
        <v>16</v>
      </c>
      <c r="I1444" s="273">
        <v>224</v>
      </c>
      <c r="J1444" s="274">
        <v>55</v>
      </c>
    </row>
    <row r="1445" spans="1:10" ht="18" customHeight="1" x14ac:dyDescent="0.35">
      <c r="A1445" s="274">
        <f>MATCH(B1445,STUDIES!$A$3:$A$502,0)</f>
        <v>38</v>
      </c>
      <c r="B1445" s="272" t="s">
        <v>900</v>
      </c>
      <c r="D1445" s="281" t="s">
        <v>1056</v>
      </c>
      <c r="E1445" s="272" t="s">
        <v>1243</v>
      </c>
      <c r="F1445" s="155" t="str">
        <f>_xlfn.XLOOKUP(B1445,STUDIES!$A$3:$A$1063,STUDIES!$G$3:$G$1063,"Not Found!")</f>
        <v>A</v>
      </c>
      <c r="G1445" s="273" t="s">
        <v>147</v>
      </c>
      <c r="H1445" s="273">
        <v>16</v>
      </c>
      <c r="I1445" s="273">
        <v>224</v>
      </c>
      <c r="J1445" s="274">
        <v>115</v>
      </c>
    </row>
    <row r="1446" spans="1:10" ht="18" customHeight="1" x14ac:dyDescent="0.35">
      <c r="A1446" s="274">
        <f>MATCH(B1446,STUDIES!$A$3:$A$502,0)</f>
        <v>38</v>
      </c>
      <c r="B1446" s="272" t="s">
        <v>900</v>
      </c>
      <c r="D1446" s="281" t="s">
        <v>1059</v>
      </c>
      <c r="E1446" s="272" t="s">
        <v>1243</v>
      </c>
      <c r="F1446" s="155" t="str">
        <f>_xlfn.XLOOKUP(B1446,STUDIES!$A$3:$A$1063,STUDIES!$G$3:$G$1063,"Not Found!")</f>
        <v>A</v>
      </c>
      <c r="G1446" s="273" t="s">
        <v>147</v>
      </c>
      <c r="H1446" s="273">
        <v>16</v>
      </c>
      <c r="I1446" s="273">
        <v>223</v>
      </c>
      <c r="J1446" s="274">
        <v>117</v>
      </c>
    </row>
    <row r="1447" spans="1:10" ht="18" customHeight="1" x14ac:dyDescent="0.35">
      <c r="A1447" s="274">
        <f>MATCH(B1447,STUDIES!$A$3:$A$502,0)</f>
        <v>38</v>
      </c>
      <c r="B1447" s="272" t="s">
        <v>900</v>
      </c>
      <c r="D1447" s="281" t="s">
        <v>148</v>
      </c>
      <c r="E1447" s="272" t="s">
        <v>1243</v>
      </c>
      <c r="F1447" s="155" t="str">
        <f>_xlfn.XLOOKUP(B1447,STUDIES!$A$3:$A$1063,STUDIES!$G$3:$G$1063,"Not Found!")</f>
        <v>A</v>
      </c>
      <c r="G1447" s="273" t="s">
        <v>147</v>
      </c>
      <c r="H1447" s="273">
        <v>16</v>
      </c>
      <c r="I1447" s="273">
        <v>224</v>
      </c>
      <c r="J1447" s="274">
        <v>33</v>
      </c>
    </row>
    <row r="1448" spans="1:10" ht="18" customHeight="1" x14ac:dyDescent="0.35">
      <c r="A1448" s="274">
        <f>MATCH(B1448,STUDIES!$A$3:$A$502,0)</f>
        <v>38</v>
      </c>
      <c r="B1448" s="272" t="s">
        <v>900</v>
      </c>
      <c r="D1448" s="281" t="s">
        <v>1056</v>
      </c>
      <c r="E1448" s="272" t="s">
        <v>1244</v>
      </c>
      <c r="F1448" s="155" t="str">
        <f>_xlfn.XLOOKUP(B1448,STUDIES!$A$3:$A$1063,STUDIES!$G$3:$G$1063,"Not Found!")</f>
        <v>A</v>
      </c>
      <c r="G1448" s="273" t="s">
        <v>147</v>
      </c>
      <c r="H1448" s="273">
        <v>16</v>
      </c>
      <c r="I1448" s="273">
        <v>224</v>
      </c>
      <c r="J1448" s="274">
        <v>80</v>
      </c>
    </row>
    <row r="1449" spans="1:10" ht="18" customHeight="1" x14ac:dyDescent="0.35">
      <c r="A1449" s="274">
        <f>MATCH(B1449,STUDIES!$A$3:$A$502,0)</f>
        <v>38</v>
      </c>
      <c r="B1449" s="272" t="s">
        <v>900</v>
      </c>
      <c r="D1449" s="281" t="s">
        <v>1059</v>
      </c>
      <c r="E1449" s="272" t="s">
        <v>1244</v>
      </c>
      <c r="F1449" s="155" t="str">
        <f>_xlfn.XLOOKUP(B1449,STUDIES!$A$3:$A$1063,STUDIES!$G$3:$G$1063,"Not Found!")</f>
        <v>A</v>
      </c>
      <c r="G1449" s="273" t="s">
        <v>147</v>
      </c>
      <c r="H1449" s="273">
        <v>16</v>
      </c>
      <c r="I1449" s="273">
        <v>223</v>
      </c>
      <c r="J1449" s="274">
        <v>74</v>
      </c>
    </row>
    <row r="1450" spans="1:10" ht="18" customHeight="1" x14ac:dyDescent="0.35">
      <c r="A1450" s="274">
        <f>MATCH(B1450,STUDIES!$A$3:$A$502,0)</f>
        <v>38</v>
      </c>
      <c r="B1450" s="272" t="s">
        <v>900</v>
      </c>
      <c r="D1450" s="281" t="s">
        <v>148</v>
      </c>
      <c r="E1450" s="272" t="s">
        <v>1244</v>
      </c>
      <c r="F1450" s="155" t="str">
        <f>_xlfn.XLOOKUP(B1450,STUDIES!$A$3:$A$1063,STUDIES!$G$3:$G$1063,"Not Found!")</f>
        <v>A</v>
      </c>
      <c r="G1450" s="273" t="s">
        <v>147</v>
      </c>
      <c r="H1450" s="273">
        <v>16</v>
      </c>
      <c r="I1450" s="273">
        <v>224</v>
      </c>
      <c r="J1450" s="274">
        <v>17</v>
      </c>
    </row>
    <row r="1451" spans="1:10" ht="18" customHeight="1" x14ac:dyDescent="0.35">
      <c r="A1451" s="274">
        <f>MATCH(B1451,STUDIES!$A$3:$A$502,0)</f>
        <v>38</v>
      </c>
      <c r="B1451" s="272" t="s">
        <v>900</v>
      </c>
      <c r="D1451" s="281" t="s">
        <v>1056</v>
      </c>
      <c r="E1451" s="272" t="s">
        <v>1268</v>
      </c>
      <c r="F1451" s="155" t="str">
        <f>_xlfn.XLOOKUP(B1451,STUDIES!$A$3:$A$1063,STUDIES!$G$3:$G$1063,"Not Found!")</f>
        <v>A</v>
      </c>
      <c r="G1451" s="273" t="s">
        <v>147</v>
      </c>
      <c r="H1451" s="273">
        <v>16</v>
      </c>
      <c r="I1451" s="273">
        <v>224</v>
      </c>
      <c r="J1451" s="274">
        <v>85</v>
      </c>
    </row>
    <row r="1452" spans="1:10" ht="18" customHeight="1" x14ac:dyDescent="0.35">
      <c r="A1452" s="274">
        <f>MATCH(B1452,STUDIES!$A$3:$A$502,0)</f>
        <v>38</v>
      </c>
      <c r="B1452" s="272" t="s">
        <v>900</v>
      </c>
      <c r="D1452" s="281" t="s">
        <v>1059</v>
      </c>
      <c r="E1452" s="272" t="s">
        <v>1268</v>
      </c>
      <c r="F1452" s="155" t="str">
        <f>_xlfn.XLOOKUP(B1452,STUDIES!$A$3:$A$1063,STUDIES!$G$3:$G$1063,"Not Found!")</f>
        <v>A</v>
      </c>
      <c r="G1452" s="273" t="s">
        <v>147</v>
      </c>
      <c r="H1452" s="273">
        <v>16</v>
      </c>
      <c r="I1452" s="273">
        <v>223</v>
      </c>
      <c r="J1452" s="274">
        <v>83</v>
      </c>
    </row>
    <row r="1453" spans="1:10" ht="18" customHeight="1" x14ac:dyDescent="0.35">
      <c r="A1453" s="274">
        <f>MATCH(B1453,STUDIES!$A$3:$A$502,0)</f>
        <v>38</v>
      </c>
      <c r="B1453" s="272" t="s">
        <v>900</v>
      </c>
      <c r="D1453" s="281" t="s">
        <v>148</v>
      </c>
      <c r="E1453" s="272" t="s">
        <v>1268</v>
      </c>
      <c r="F1453" s="155" t="str">
        <f>_xlfn.XLOOKUP(B1453,STUDIES!$A$3:$A$1063,STUDIES!$G$3:$G$1063,"Not Found!")</f>
        <v>A</v>
      </c>
      <c r="G1453" s="273" t="s">
        <v>147</v>
      </c>
      <c r="H1453" s="273">
        <v>16</v>
      </c>
      <c r="I1453" s="273">
        <v>224</v>
      </c>
      <c r="J1453" s="274">
        <v>23</v>
      </c>
    </row>
    <row r="1454" spans="1:10" ht="18" customHeight="1" x14ac:dyDescent="0.35">
      <c r="A1454" s="274">
        <f>MATCH(B1454,STUDIES!$A$3:$A$502,0)</f>
        <v>39</v>
      </c>
      <c r="B1454" s="272" t="s">
        <v>358</v>
      </c>
      <c r="D1454" s="281" t="s">
        <v>1059</v>
      </c>
      <c r="E1454" s="272" t="s">
        <v>1258</v>
      </c>
      <c r="F1454" s="155" t="str">
        <f>_xlfn.XLOOKUP(B1454,STUDIES!$A$3:$A$1063,STUDIES!$G$3:$G$1063,"Not Found!")</f>
        <v>A</v>
      </c>
      <c r="G1454" s="273" t="s">
        <v>147</v>
      </c>
      <c r="H1454" s="273">
        <v>16</v>
      </c>
      <c r="I1454" s="273">
        <v>239</v>
      </c>
      <c r="J1454" s="274">
        <v>146</v>
      </c>
    </row>
    <row r="1455" spans="1:10" ht="18" customHeight="1" x14ac:dyDescent="0.35">
      <c r="A1455" s="274">
        <f>MATCH(B1455,STUDIES!$A$3:$A$502,0)</f>
        <v>39</v>
      </c>
      <c r="B1455" s="272" t="s">
        <v>358</v>
      </c>
      <c r="D1455" s="281" t="s">
        <v>1056</v>
      </c>
      <c r="E1455" s="272" t="s">
        <v>1258</v>
      </c>
      <c r="F1455" s="155" t="str">
        <f>_xlfn.XLOOKUP(B1455,STUDIES!$A$3:$A$1063,STUDIES!$G$3:$G$1063,"Not Found!")</f>
        <v>A</v>
      </c>
      <c r="G1455" s="273" t="s">
        <v>147</v>
      </c>
      <c r="H1455" s="273">
        <v>16</v>
      </c>
      <c r="I1455" s="273">
        <v>233</v>
      </c>
      <c r="J1455" s="274">
        <v>152</v>
      </c>
    </row>
    <row r="1456" spans="1:10" ht="18" customHeight="1" x14ac:dyDescent="0.35">
      <c r="A1456" s="274">
        <f>MATCH(B1456,STUDIES!$A$3:$A$502,0)</f>
        <v>39</v>
      </c>
      <c r="B1456" s="272" t="s">
        <v>358</v>
      </c>
      <c r="D1456" s="281" t="s">
        <v>148</v>
      </c>
      <c r="E1456" s="272" t="s">
        <v>1258</v>
      </c>
      <c r="F1456" s="155" t="str">
        <f>_xlfn.XLOOKUP(B1456,STUDIES!$A$3:$A$1063,STUDIES!$G$3:$G$1063,"Not Found!")</f>
        <v>A</v>
      </c>
      <c r="G1456" s="273" t="s">
        <v>147</v>
      </c>
      <c r="H1456" s="273">
        <v>16</v>
      </c>
      <c r="I1456" s="273">
        <v>236</v>
      </c>
      <c r="J1456" s="274">
        <v>52</v>
      </c>
    </row>
    <row r="1457" spans="1:10" ht="18" customHeight="1" x14ac:dyDescent="0.35">
      <c r="A1457" s="274">
        <f>MATCH(B1457,STUDIES!$A$3:$A$502,0)</f>
        <v>39</v>
      </c>
      <c r="B1457" s="272" t="s">
        <v>358</v>
      </c>
      <c r="D1457" s="281" t="s">
        <v>1059</v>
      </c>
      <c r="E1457" s="272" t="s">
        <v>1243</v>
      </c>
      <c r="F1457" s="155" t="str">
        <f>_xlfn.XLOOKUP(B1457,STUDIES!$A$3:$A$1063,STUDIES!$G$3:$G$1063,"Not Found!")</f>
        <v>A</v>
      </c>
      <c r="G1457" s="273" t="s">
        <v>147</v>
      </c>
      <c r="H1457" s="273">
        <v>16</v>
      </c>
      <c r="I1457" s="273">
        <v>239</v>
      </c>
      <c r="J1457" s="274">
        <v>115</v>
      </c>
    </row>
    <row r="1458" spans="1:10" ht="18" customHeight="1" x14ac:dyDescent="0.35">
      <c r="A1458" s="274">
        <f>MATCH(B1458,STUDIES!$A$3:$A$502,0)</f>
        <v>39</v>
      </c>
      <c r="B1458" s="272" t="s">
        <v>358</v>
      </c>
      <c r="D1458" s="281" t="s">
        <v>1056</v>
      </c>
      <c r="E1458" s="272" t="s">
        <v>1243</v>
      </c>
      <c r="F1458" s="155" t="str">
        <f>_xlfn.XLOOKUP(B1458,STUDIES!$A$3:$A$1063,STUDIES!$G$3:$G$1063,"Not Found!")</f>
        <v>A</v>
      </c>
      <c r="G1458" s="273" t="s">
        <v>147</v>
      </c>
      <c r="H1458" s="273">
        <v>16</v>
      </c>
      <c r="I1458" s="273">
        <v>233</v>
      </c>
      <c r="J1458" s="274">
        <v>103</v>
      </c>
    </row>
    <row r="1459" spans="1:10" ht="18" customHeight="1" x14ac:dyDescent="0.35">
      <c r="A1459" s="274">
        <f>MATCH(B1459,STUDIES!$A$3:$A$502,0)</f>
        <v>39</v>
      </c>
      <c r="B1459" s="272" t="s">
        <v>358</v>
      </c>
      <c r="D1459" s="281" t="s">
        <v>148</v>
      </c>
      <c r="E1459" s="272" t="s">
        <v>1243</v>
      </c>
      <c r="F1459" s="155" t="str">
        <f>_xlfn.XLOOKUP(B1459,STUDIES!$A$3:$A$1063,STUDIES!$G$3:$G$1063,"Not Found!")</f>
        <v>A</v>
      </c>
      <c r="G1459" s="273" t="s">
        <v>147</v>
      </c>
      <c r="H1459" s="273">
        <v>16</v>
      </c>
      <c r="I1459" s="273">
        <v>236</v>
      </c>
      <c r="J1459" s="274">
        <v>28</v>
      </c>
    </row>
    <row r="1460" spans="1:10" ht="18" customHeight="1" x14ac:dyDescent="0.35">
      <c r="A1460" s="274">
        <f>MATCH(B1460,STUDIES!$A$3:$A$502,0)</f>
        <v>39</v>
      </c>
      <c r="B1460" s="272" t="s">
        <v>358</v>
      </c>
      <c r="D1460" s="281" t="s">
        <v>1059</v>
      </c>
      <c r="E1460" s="272" t="s">
        <v>1244</v>
      </c>
      <c r="F1460" s="155" t="str">
        <f>_xlfn.XLOOKUP(B1460,STUDIES!$A$3:$A$1063,STUDIES!$G$3:$G$1063,"Not Found!")</f>
        <v>A</v>
      </c>
      <c r="G1460" s="273" t="s">
        <v>147</v>
      </c>
      <c r="H1460" s="273">
        <v>16</v>
      </c>
      <c r="I1460" s="273">
        <v>239</v>
      </c>
      <c r="J1460" s="274">
        <v>73</v>
      </c>
    </row>
    <row r="1461" spans="1:10" ht="18" customHeight="1" x14ac:dyDescent="0.35">
      <c r="A1461" s="274">
        <f>MATCH(B1461,STUDIES!$A$3:$A$502,0)</f>
        <v>39</v>
      </c>
      <c r="B1461" s="272" t="s">
        <v>358</v>
      </c>
      <c r="D1461" s="281" t="s">
        <v>1056</v>
      </c>
      <c r="E1461" s="272" t="s">
        <v>1244</v>
      </c>
      <c r="F1461" s="155" t="str">
        <f>_xlfn.XLOOKUP(B1461,STUDIES!$A$3:$A$1063,STUDIES!$G$3:$G$1063,"Not Found!")</f>
        <v>A</v>
      </c>
      <c r="G1461" s="273" t="s">
        <v>147</v>
      </c>
      <c r="H1461" s="273">
        <v>16</v>
      </c>
      <c r="I1461" s="273">
        <v>233</v>
      </c>
      <c r="J1461" s="274">
        <v>70</v>
      </c>
    </row>
    <row r="1462" spans="1:10" ht="18" customHeight="1" x14ac:dyDescent="0.35">
      <c r="A1462" s="274">
        <f>MATCH(B1462,STUDIES!$A$3:$A$502,0)</f>
        <v>39</v>
      </c>
      <c r="B1462" s="272" t="s">
        <v>358</v>
      </c>
      <c r="D1462" s="281" t="s">
        <v>148</v>
      </c>
      <c r="E1462" s="272" t="s">
        <v>1244</v>
      </c>
      <c r="F1462" s="155" t="str">
        <f>_xlfn.XLOOKUP(B1462,STUDIES!$A$3:$A$1063,STUDIES!$G$3:$G$1063,"Not Found!")</f>
        <v>A</v>
      </c>
      <c r="G1462" s="273" t="s">
        <v>147</v>
      </c>
      <c r="H1462" s="273">
        <v>16</v>
      </c>
      <c r="I1462" s="273">
        <v>236</v>
      </c>
      <c r="J1462" s="274">
        <v>17</v>
      </c>
    </row>
    <row r="1463" spans="1:10" ht="18" customHeight="1" x14ac:dyDescent="0.35">
      <c r="A1463" s="274">
        <f>MATCH(B1463,STUDIES!$A$3:$A$502,0)</f>
        <v>39</v>
      </c>
      <c r="B1463" s="272" t="s">
        <v>358</v>
      </c>
      <c r="D1463" s="281" t="s">
        <v>1059</v>
      </c>
      <c r="E1463" s="272" t="s">
        <v>1268</v>
      </c>
      <c r="F1463" s="155" t="str">
        <f>_xlfn.XLOOKUP(B1463,STUDIES!$A$3:$A$1063,STUDIES!$G$3:$G$1063,"Not Found!")</f>
        <v>A</v>
      </c>
      <c r="G1463" s="273" t="s">
        <v>147</v>
      </c>
      <c r="H1463" s="273">
        <v>16</v>
      </c>
      <c r="I1463" s="273">
        <v>239</v>
      </c>
      <c r="J1463" s="274">
        <v>87</v>
      </c>
    </row>
    <row r="1464" spans="1:10" ht="18" customHeight="1" x14ac:dyDescent="0.35">
      <c r="A1464" s="274">
        <f>MATCH(B1464,STUDIES!$A$3:$A$502,0)</f>
        <v>39</v>
      </c>
      <c r="B1464" s="272" t="s">
        <v>358</v>
      </c>
      <c r="D1464" s="281" t="s">
        <v>1056</v>
      </c>
      <c r="E1464" s="272" t="s">
        <v>1268</v>
      </c>
      <c r="F1464" s="155" t="str">
        <f>_xlfn.XLOOKUP(B1464,STUDIES!$A$3:$A$1063,STUDIES!$G$3:$G$1063,"Not Found!")</f>
        <v>A</v>
      </c>
      <c r="G1464" s="273" t="s">
        <v>147</v>
      </c>
      <c r="H1464" s="273">
        <v>16</v>
      </c>
      <c r="I1464" s="273">
        <v>233</v>
      </c>
      <c r="J1464" s="274">
        <v>84</v>
      </c>
    </row>
    <row r="1465" spans="1:10" ht="18" customHeight="1" x14ac:dyDescent="0.35">
      <c r="A1465" s="274">
        <f>MATCH(B1465,STUDIES!$A$3:$A$502,0)</f>
        <v>39</v>
      </c>
      <c r="B1465" s="272" t="s">
        <v>358</v>
      </c>
      <c r="D1465" s="281" t="s">
        <v>148</v>
      </c>
      <c r="E1465" s="272" t="s">
        <v>1268</v>
      </c>
      <c r="F1465" s="155" t="str">
        <f>_xlfn.XLOOKUP(B1465,STUDIES!$A$3:$A$1063,STUDIES!$G$3:$G$1063,"Not Found!")</f>
        <v>A</v>
      </c>
      <c r="G1465" s="273" t="s">
        <v>147</v>
      </c>
      <c r="H1465" s="273">
        <v>16</v>
      </c>
      <c r="I1465" s="273">
        <v>236</v>
      </c>
      <c r="J1465" s="274">
        <v>20</v>
      </c>
    </row>
    <row r="1466" spans="1:10" ht="18" customHeight="1" x14ac:dyDescent="0.35">
      <c r="A1466" s="274">
        <f>MATCH(B1466,STUDIES!$A$3:$A$502,0)</f>
        <v>40</v>
      </c>
      <c r="B1466" s="272" t="s">
        <v>243</v>
      </c>
      <c r="D1466" s="281" t="s">
        <v>1038</v>
      </c>
      <c r="E1466" s="272" t="s">
        <v>1258</v>
      </c>
      <c r="F1466" s="155" t="str">
        <f>_xlfn.XLOOKUP(B1466,STUDIES!$A$3:$A$1063,STUDIES!$G$3:$G$1063,"Not Found!")</f>
        <v>A</v>
      </c>
      <c r="G1466" s="273" t="s">
        <v>147</v>
      </c>
      <c r="H1466" s="273">
        <v>12</v>
      </c>
      <c r="I1466" s="273">
        <v>58</v>
      </c>
      <c r="J1466" s="274">
        <v>18</v>
      </c>
    </row>
    <row r="1467" spans="1:10" ht="18" customHeight="1" x14ac:dyDescent="0.35">
      <c r="A1467" s="274">
        <f>MATCH(B1467,STUDIES!$A$3:$A$502,0)</f>
        <v>40</v>
      </c>
      <c r="B1467" s="272" t="s">
        <v>243</v>
      </c>
      <c r="D1467" s="281" t="s">
        <v>1037</v>
      </c>
      <c r="E1467" s="272" t="s">
        <v>1258</v>
      </c>
      <c r="F1467" s="155" t="str">
        <f>_xlfn.XLOOKUP(B1467,STUDIES!$A$3:$A$1063,STUDIES!$G$3:$G$1063,"Not Found!")</f>
        <v>A</v>
      </c>
      <c r="G1467" s="273" t="s">
        <v>147</v>
      </c>
      <c r="H1467" s="273">
        <v>12</v>
      </c>
      <c r="I1467" s="273">
        <v>63</v>
      </c>
      <c r="J1467" s="274">
        <v>27</v>
      </c>
    </row>
    <row r="1468" spans="1:10" ht="18" customHeight="1" x14ac:dyDescent="0.35">
      <c r="A1468" s="274">
        <f>MATCH(B1468,STUDIES!$A$3:$A$502,0)</f>
        <v>40</v>
      </c>
      <c r="B1468" s="272" t="s">
        <v>243</v>
      </c>
      <c r="D1468" s="281" t="s">
        <v>148</v>
      </c>
      <c r="E1468" s="272" t="s">
        <v>1258</v>
      </c>
      <c r="F1468" s="155" t="str">
        <f>_xlfn.XLOOKUP(B1468,STUDIES!$A$3:$A$1063,STUDIES!$G$3:$G$1063,"Not Found!")</f>
        <v>A</v>
      </c>
      <c r="G1468" s="273" t="s">
        <v>147</v>
      </c>
      <c r="H1468" s="273">
        <v>12</v>
      </c>
      <c r="I1468" s="273">
        <v>64</v>
      </c>
      <c r="J1468" s="274">
        <v>21</v>
      </c>
    </row>
    <row r="1469" spans="1:10" ht="18" customHeight="1" x14ac:dyDescent="0.35">
      <c r="A1469" s="274">
        <f>MATCH(B1469,STUDIES!$A$3:$A$502,0)</f>
        <v>40</v>
      </c>
      <c r="B1469" s="272" t="s">
        <v>243</v>
      </c>
      <c r="D1469" s="281" t="s">
        <v>1038</v>
      </c>
      <c r="E1469" s="272" t="s">
        <v>1268</v>
      </c>
      <c r="F1469" s="155" t="str">
        <f>_xlfn.XLOOKUP(B1469,STUDIES!$A$3:$A$1063,STUDIES!$G$3:$G$1063,"Not Found!")</f>
        <v>A</v>
      </c>
      <c r="G1469" s="273" t="s">
        <v>147</v>
      </c>
      <c r="H1469" s="273">
        <v>12</v>
      </c>
      <c r="I1469" s="273">
        <v>58</v>
      </c>
      <c r="J1469" s="274">
        <v>2</v>
      </c>
    </row>
    <row r="1470" spans="1:10" ht="18" customHeight="1" x14ac:dyDescent="0.35">
      <c r="A1470" s="274">
        <f>MATCH(B1470,STUDIES!$A$3:$A$502,0)</f>
        <v>40</v>
      </c>
      <c r="B1470" s="272" t="s">
        <v>243</v>
      </c>
      <c r="D1470" s="281" t="s">
        <v>1037</v>
      </c>
      <c r="E1470" s="272" t="s">
        <v>1268</v>
      </c>
      <c r="F1470" s="155" t="str">
        <f>_xlfn.XLOOKUP(B1470,STUDIES!$A$3:$A$1063,STUDIES!$G$3:$G$1063,"Not Found!")</f>
        <v>A</v>
      </c>
      <c r="G1470" s="273" t="s">
        <v>147</v>
      </c>
      <c r="H1470" s="273">
        <v>12</v>
      </c>
      <c r="I1470" s="273">
        <v>63</v>
      </c>
      <c r="J1470" s="274">
        <v>9</v>
      </c>
    </row>
    <row r="1471" spans="1:10" ht="18" customHeight="1" x14ac:dyDescent="0.35">
      <c r="A1471" s="274">
        <f>MATCH(B1471,STUDIES!$A$3:$A$502,0)</f>
        <v>40</v>
      </c>
      <c r="B1471" s="272" t="s">
        <v>243</v>
      </c>
      <c r="D1471" s="281" t="s">
        <v>148</v>
      </c>
      <c r="E1471" s="272" t="s">
        <v>1268</v>
      </c>
      <c r="F1471" s="155" t="str">
        <f>_xlfn.XLOOKUP(B1471,STUDIES!$A$3:$A$1063,STUDIES!$G$3:$G$1063,"Not Found!")</f>
        <v>A</v>
      </c>
      <c r="G1471" s="273" t="s">
        <v>147</v>
      </c>
      <c r="H1471" s="273">
        <v>12</v>
      </c>
      <c r="I1471" s="273">
        <v>64</v>
      </c>
      <c r="J1471" s="274">
        <v>4</v>
      </c>
    </row>
    <row r="1472" spans="1:10" ht="18" customHeight="1" x14ac:dyDescent="0.35">
      <c r="A1472" s="274">
        <f>MATCH(B1472,STUDIES!$A$3:$A$502,0)</f>
        <v>41</v>
      </c>
      <c r="B1472" s="272" t="s">
        <v>251</v>
      </c>
      <c r="D1472" s="281" t="s">
        <v>1068</v>
      </c>
      <c r="E1472" s="272" t="s">
        <v>1258</v>
      </c>
      <c r="F1472" s="155" t="str">
        <f>_xlfn.XLOOKUP(B1472,STUDIES!$A$3:$A$1063,STUDIES!$G$3:$G$1063,"Not Found!")</f>
        <v>A</v>
      </c>
      <c r="G1472" s="273" t="s">
        <v>147</v>
      </c>
      <c r="H1472" s="273">
        <v>12</v>
      </c>
      <c r="I1472" s="273">
        <v>52</v>
      </c>
      <c r="J1472" s="274">
        <v>36</v>
      </c>
    </row>
    <row r="1473" spans="1:10" ht="18" customHeight="1" x14ac:dyDescent="0.35">
      <c r="A1473" s="274">
        <f>MATCH(B1473,STUDIES!$A$3:$A$502,0)</f>
        <v>41</v>
      </c>
      <c r="B1473" s="272" t="s">
        <v>251</v>
      </c>
      <c r="D1473" s="281" t="s">
        <v>1069</v>
      </c>
      <c r="E1473" s="272" t="s">
        <v>1258</v>
      </c>
      <c r="F1473" s="155" t="str">
        <f>_xlfn.XLOOKUP(B1473,STUDIES!$A$3:$A$1063,STUDIES!$G$3:$G$1063,"Not Found!")</f>
        <v>A</v>
      </c>
      <c r="G1473" s="273" t="s">
        <v>147</v>
      </c>
      <c r="H1473" s="273">
        <v>12</v>
      </c>
      <c r="I1473" s="273">
        <v>51</v>
      </c>
      <c r="J1473" s="274">
        <v>42</v>
      </c>
    </row>
    <row r="1474" spans="1:10" ht="18" customHeight="1" x14ac:dyDescent="0.35">
      <c r="A1474" s="274">
        <f>MATCH(B1474,STUDIES!$A$3:$A$502,0)</f>
        <v>41</v>
      </c>
      <c r="B1474" s="272" t="s">
        <v>251</v>
      </c>
      <c r="D1474" s="281" t="s">
        <v>1070</v>
      </c>
      <c r="E1474" s="272" t="s">
        <v>1258</v>
      </c>
      <c r="F1474" s="155" t="str">
        <f>_xlfn.XLOOKUP(B1474,STUDIES!$A$3:$A$1063,STUDIES!$G$3:$G$1063,"Not Found!")</f>
        <v>A</v>
      </c>
      <c r="G1474" s="273" t="s">
        <v>147</v>
      </c>
      <c r="H1474" s="273">
        <v>12</v>
      </c>
      <c r="I1474" s="273">
        <v>53</v>
      </c>
      <c r="J1474" s="274">
        <v>37</v>
      </c>
    </row>
    <row r="1475" spans="1:10" ht="18" customHeight="1" x14ac:dyDescent="0.35">
      <c r="A1475" s="274">
        <f>MATCH(B1475,STUDIES!$A$3:$A$502,0)</f>
        <v>41</v>
      </c>
      <c r="B1475" s="272" t="s">
        <v>251</v>
      </c>
      <c r="D1475" s="281" t="s">
        <v>148</v>
      </c>
      <c r="E1475" s="272" t="s">
        <v>1258</v>
      </c>
      <c r="F1475" s="155" t="str">
        <f>_xlfn.XLOOKUP(B1475,STUDIES!$A$3:$A$1063,STUDIES!$G$3:$G$1063,"Not Found!")</f>
        <v>A</v>
      </c>
      <c r="G1475" s="273" t="s">
        <v>147</v>
      </c>
      <c r="H1475" s="273">
        <v>12</v>
      </c>
      <c r="I1475" s="273">
        <v>53</v>
      </c>
      <c r="J1475" s="274">
        <v>33</v>
      </c>
    </row>
    <row r="1476" spans="1:10" ht="18" customHeight="1" x14ac:dyDescent="0.35">
      <c r="A1476" s="274">
        <f>MATCH(B1476,STUDIES!$A$3:$A$502,0)</f>
        <v>41</v>
      </c>
      <c r="B1476" s="272" t="s">
        <v>251</v>
      </c>
      <c r="D1476" s="281" t="s">
        <v>1068</v>
      </c>
      <c r="E1476" s="272" t="s">
        <v>1243</v>
      </c>
      <c r="F1476" s="155" t="str">
        <f>_xlfn.XLOOKUP(B1476,STUDIES!$A$3:$A$1063,STUDIES!$G$3:$G$1063,"Not Found!")</f>
        <v>A</v>
      </c>
      <c r="G1476" s="273" t="s">
        <v>147</v>
      </c>
      <c r="H1476" s="273">
        <v>12</v>
      </c>
      <c r="I1476" s="273">
        <v>52</v>
      </c>
      <c r="J1476" s="274">
        <v>20</v>
      </c>
    </row>
    <row r="1477" spans="1:10" ht="18" customHeight="1" x14ac:dyDescent="0.35">
      <c r="A1477" s="274">
        <f>MATCH(B1477,STUDIES!$A$3:$A$502,0)</f>
        <v>41</v>
      </c>
      <c r="B1477" s="272" t="s">
        <v>251</v>
      </c>
      <c r="D1477" s="281" t="s">
        <v>1069</v>
      </c>
      <c r="E1477" s="272" t="s">
        <v>1243</v>
      </c>
      <c r="F1477" s="155" t="str">
        <f>_xlfn.XLOOKUP(B1477,STUDIES!$A$3:$A$1063,STUDIES!$G$3:$G$1063,"Not Found!")</f>
        <v>A</v>
      </c>
      <c r="G1477" s="273" t="s">
        <v>147</v>
      </c>
      <c r="H1477" s="273">
        <v>12</v>
      </c>
      <c r="I1477" s="273">
        <v>51</v>
      </c>
      <c r="J1477" s="274">
        <v>28</v>
      </c>
    </row>
    <row r="1478" spans="1:10" ht="18" customHeight="1" x14ac:dyDescent="0.35">
      <c r="A1478" s="274">
        <f>MATCH(B1478,STUDIES!$A$3:$A$502,0)</f>
        <v>41</v>
      </c>
      <c r="B1478" s="272" t="s">
        <v>251</v>
      </c>
      <c r="D1478" s="281" t="s">
        <v>1070</v>
      </c>
      <c r="E1478" s="272" t="s">
        <v>1243</v>
      </c>
      <c r="F1478" s="155" t="str">
        <f>_xlfn.XLOOKUP(B1478,STUDIES!$A$3:$A$1063,STUDIES!$G$3:$G$1063,"Not Found!")</f>
        <v>A</v>
      </c>
      <c r="G1478" s="273" t="s">
        <v>147</v>
      </c>
      <c r="H1478" s="273">
        <v>12</v>
      </c>
      <c r="I1478" s="273">
        <v>53</v>
      </c>
      <c r="J1478" s="274">
        <v>26</v>
      </c>
    </row>
    <row r="1479" spans="1:10" ht="18" customHeight="1" x14ac:dyDescent="0.35">
      <c r="A1479" s="274">
        <f>MATCH(B1479,STUDIES!$A$3:$A$502,0)</f>
        <v>41</v>
      </c>
      <c r="B1479" s="272" t="s">
        <v>251</v>
      </c>
      <c r="D1479" s="281" t="s">
        <v>148</v>
      </c>
      <c r="E1479" s="272" t="s">
        <v>1243</v>
      </c>
      <c r="F1479" s="155" t="str">
        <f>_xlfn.XLOOKUP(B1479,STUDIES!$A$3:$A$1063,STUDIES!$G$3:$G$1063,"Not Found!")</f>
        <v>A</v>
      </c>
      <c r="G1479" s="273" t="s">
        <v>147</v>
      </c>
      <c r="H1479" s="273">
        <v>12</v>
      </c>
      <c r="I1479" s="273">
        <v>53</v>
      </c>
      <c r="J1479" s="274">
        <v>18</v>
      </c>
    </row>
    <row r="1480" spans="1:10" ht="18" customHeight="1" x14ac:dyDescent="0.35">
      <c r="A1480" s="274">
        <f>MATCH(B1480,STUDIES!$A$3:$A$502,0)</f>
        <v>41</v>
      </c>
      <c r="B1480" s="272" t="s">
        <v>251</v>
      </c>
      <c r="D1480" s="281" t="s">
        <v>1068</v>
      </c>
      <c r="E1480" s="272" t="s">
        <v>1268</v>
      </c>
      <c r="F1480" s="155" t="str">
        <f>_xlfn.XLOOKUP(B1480,STUDIES!$A$3:$A$1063,STUDIES!$G$3:$G$1063,"Not Found!")</f>
        <v>A</v>
      </c>
      <c r="G1480" s="273" t="s">
        <v>147</v>
      </c>
      <c r="H1480" s="273">
        <v>12</v>
      </c>
      <c r="I1480" s="273">
        <v>52</v>
      </c>
      <c r="J1480" s="274">
        <v>11</v>
      </c>
    </row>
    <row r="1481" spans="1:10" ht="18" customHeight="1" x14ac:dyDescent="0.35">
      <c r="A1481" s="274">
        <f>MATCH(B1481,STUDIES!$A$3:$A$502,0)</f>
        <v>41</v>
      </c>
      <c r="B1481" s="272" t="s">
        <v>251</v>
      </c>
      <c r="D1481" s="281" t="s">
        <v>1069</v>
      </c>
      <c r="E1481" s="272" t="s">
        <v>1268</v>
      </c>
      <c r="F1481" s="155" t="str">
        <f>_xlfn.XLOOKUP(B1481,STUDIES!$A$3:$A$1063,STUDIES!$G$3:$G$1063,"Not Found!")</f>
        <v>A</v>
      </c>
      <c r="G1481" s="273" t="s">
        <v>147</v>
      </c>
      <c r="H1481" s="273">
        <v>12</v>
      </c>
      <c r="I1481" s="273">
        <v>51</v>
      </c>
      <c r="J1481" s="274">
        <v>17</v>
      </c>
    </row>
    <row r="1482" spans="1:10" ht="18" customHeight="1" x14ac:dyDescent="0.35">
      <c r="A1482" s="274">
        <f>MATCH(B1482,STUDIES!$A$3:$A$502,0)</f>
        <v>41</v>
      </c>
      <c r="B1482" s="272" t="s">
        <v>251</v>
      </c>
      <c r="D1482" s="281" t="s">
        <v>1070</v>
      </c>
      <c r="E1482" s="272" t="s">
        <v>1268</v>
      </c>
      <c r="F1482" s="155" t="str">
        <f>_xlfn.XLOOKUP(B1482,STUDIES!$A$3:$A$1063,STUDIES!$G$3:$G$1063,"Not Found!")</f>
        <v>A</v>
      </c>
      <c r="G1482" s="273" t="s">
        <v>147</v>
      </c>
      <c r="H1482" s="273">
        <v>12</v>
      </c>
      <c r="I1482" s="273">
        <v>53</v>
      </c>
      <c r="J1482" s="274">
        <v>15</v>
      </c>
    </row>
    <row r="1483" spans="1:10" ht="18" customHeight="1" x14ac:dyDescent="0.35">
      <c r="A1483" s="274">
        <f>MATCH(B1483,STUDIES!$A$3:$A$502,0)</f>
        <v>41</v>
      </c>
      <c r="B1483" s="272" t="s">
        <v>251</v>
      </c>
      <c r="D1483" s="281" t="s">
        <v>148</v>
      </c>
      <c r="E1483" s="272" t="s">
        <v>1268</v>
      </c>
      <c r="F1483" s="155" t="str">
        <f>_xlfn.XLOOKUP(B1483,STUDIES!$A$3:$A$1063,STUDIES!$G$3:$G$1063,"Not Found!")</f>
        <v>A</v>
      </c>
      <c r="G1483" s="273" t="s">
        <v>147</v>
      </c>
      <c r="H1483" s="273">
        <v>12</v>
      </c>
      <c r="I1483" s="273">
        <v>53</v>
      </c>
      <c r="J1483" s="274">
        <v>10</v>
      </c>
    </row>
    <row r="1484" spans="1:10" ht="18" customHeight="1" x14ac:dyDescent="0.35">
      <c r="A1484" s="274">
        <f>MATCH(B1484,STUDIES!$A$3:$A$502,0)</f>
        <v>42</v>
      </c>
      <c r="B1484" s="272" t="s">
        <v>259</v>
      </c>
      <c r="D1484" s="281" t="s">
        <v>1093</v>
      </c>
      <c r="E1484" s="272" t="s">
        <v>1258</v>
      </c>
      <c r="F1484" s="155" t="str">
        <f>_xlfn.XLOOKUP(B1484,STUDIES!$A$3:$A$1063,STUDIES!$G$3:$G$1063,"Not Found!")</f>
        <v>A</v>
      </c>
      <c r="G1484" s="273" t="s">
        <v>147</v>
      </c>
      <c r="H1484" s="273">
        <v>12</v>
      </c>
      <c r="I1484" s="273">
        <v>56</v>
      </c>
      <c r="J1484" s="274">
        <v>27</v>
      </c>
    </row>
    <row r="1485" spans="1:10" ht="18" customHeight="1" x14ac:dyDescent="0.35">
      <c r="A1485" s="274">
        <f>MATCH(B1485,STUDIES!$A$3:$A$502,0)</f>
        <v>42</v>
      </c>
      <c r="B1485" s="272" t="s">
        <v>259</v>
      </c>
      <c r="D1485" s="281" t="s">
        <v>148</v>
      </c>
      <c r="E1485" s="272" t="s">
        <v>1258</v>
      </c>
      <c r="F1485" s="155" t="str">
        <f>_xlfn.XLOOKUP(B1485,STUDIES!$A$3:$A$1063,STUDIES!$G$3:$G$1063,"Not Found!")</f>
        <v>A</v>
      </c>
      <c r="G1485" s="273" t="s">
        <v>147</v>
      </c>
      <c r="H1485" s="273">
        <v>12</v>
      </c>
      <c r="I1485" s="273">
        <v>55</v>
      </c>
      <c r="J1485" s="274">
        <v>36</v>
      </c>
    </row>
    <row r="1486" spans="1:10" ht="18" customHeight="1" x14ac:dyDescent="0.35">
      <c r="A1486" s="274">
        <f>MATCH(B1486,STUDIES!$A$3:$A$502,0)</f>
        <v>42</v>
      </c>
      <c r="B1486" s="272" t="s">
        <v>259</v>
      </c>
      <c r="D1486" s="281" t="s">
        <v>1093</v>
      </c>
      <c r="E1486" s="272" t="s">
        <v>1243</v>
      </c>
      <c r="F1486" s="155" t="str">
        <f>_xlfn.XLOOKUP(B1486,STUDIES!$A$3:$A$1063,STUDIES!$G$3:$G$1063,"Not Found!")</f>
        <v>A</v>
      </c>
      <c r="G1486" s="273" t="s">
        <v>147</v>
      </c>
      <c r="H1486" s="273">
        <v>12</v>
      </c>
      <c r="I1486" s="273">
        <v>56</v>
      </c>
      <c r="J1486" s="274">
        <v>11</v>
      </c>
    </row>
    <row r="1487" spans="1:10" ht="18" customHeight="1" x14ac:dyDescent="0.35">
      <c r="A1487" s="274">
        <f>MATCH(B1487,STUDIES!$A$3:$A$502,0)</f>
        <v>42</v>
      </c>
      <c r="B1487" s="272" t="s">
        <v>259</v>
      </c>
      <c r="D1487" s="281" t="s">
        <v>148</v>
      </c>
      <c r="E1487" s="272" t="s">
        <v>1243</v>
      </c>
      <c r="F1487" s="155" t="str">
        <f>_xlfn.XLOOKUP(B1487,STUDIES!$A$3:$A$1063,STUDIES!$G$3:$G$1063,"Not Found!")</f>
        <v>A</v>
      </c>
      <c r="G1487" s="273" t="s">
        <v>147</v>
      </c>
      <c r="H1487" s="273">
        <v>12</v>
      </c>
      <c r="I1487" s="273">
        <v>55</v>
      </c>
      <c r="J1487" s="274">
        <v>13</v>
      </c>
    </row>
    <row r="1488" spans="1:10" ht="18" customHeight="1" x14ac:dyDescent="0.35">
      <c r="A1488" s="274">
        <f>MATCH(B1488,STUDIES!$A$3:$A$502,0)</f>
        <v>42</v>
      </c>
      <c r="B1488" s="272" t="s">
        <v>259</v>
      </c>
      <c r="D1488" s="281" t="s">
        <v>1093</v>
      </c>
      <c r="E1488" s="272" t="s">
        <v>1268</v>
      </c>
      <c r="F1488" s="155" t="str">
        <f>_xlfn.XLOOKUP(B1488,STUDIES!$A$3:$A$1063,STUDIES!$G$3:$G$1063,"Not Found!")</f>
        <v>A</v>
      </c>
      <c r="G1488" s="273" t="s">
        <v>147</v>
      </c>
      <c r="H1488" s="273">
        <v>12</v>
      </c>
      <c r="I1488" s="273">
        <v>56</v>
      </c>
      <c r="J1488" s="274">
        <v>7</v>
      </c>
    </row>
    <row r="1489" spans="1:10" ht="18" customHeight="1" x14ac:dyDescent="0.35">
      <c r="A1489" s="274">
        <f>MATCH(B1489,STUDIES!$A$3:$A$502,0)</f>
        <v>42</v>
      </c>
      <c r="B1489" s="272" t="s">
        <v>259</v>
      </c>
      <c r="D1489" s="281" t="s">
        <v>148</v>
      </c>
      <c r="E1489" s="272" t="s">
        <v>1268</v>
      </c>
      <c r="F1489" s="155" t="str">
        <f>_xlfn.XLOOKUP(B1489,STUDIES!$A$3:$A$1063,STUDIES!$G$3:$G$1063,"Not Found!")</f>
        <v>A</v>
      </c>
      <c r="G1489" s="273" t="s">
        <v>147</v>
      </c>
      <c r="H1489" s="273">
        <v>12</v>
      </c>
      <c r="I1489" s="273">
        <v>55</v>
      </c>
      <c r="J1489" s="274">
        <v>11</v>
      </c>
    </row>
    <row r="1490" spans="1:10" ht="18" customHeight="1" x14ac:dyDescent="0.35">
      <c r="A1490" s="274">
        <f>MATCH(B1490,STUDIES!$A$3:$A$502,0)</f>
        <v>43</v>
      </c>
      <c r="B1490" s="272" t="s">
        <v>883</v>
      </c>
      <c r="D1490" s="281" t="s">
        <v>1088</v>
      </c>
      <c r="E1490" s="272" t="s">
        <v>1258</v>
      </c>
      <c r="F1490" s="155" t="str">
        <f>_xlfn.XLOOKUP(B1490,STUDIES!$A$3:$A$1063,STUDIES!$G$3:$G$1063,"Not Found!")</f>
        <v>A</v>
      </c>
      <c r="G1490" s="273" t="s">
        <v>147</v>
      </c>
      <c r="H1490" s="273">
        <v>16</v>
      </c>
      <c r="I1490" s="273">
        <v>156</v>
      </c>
      <c r="J1490" s="274">
        <v>90</v>
      </c>
    </row>
    <row r="1491" spans="1:10" ht="18" customHeight="1" x14ac:dyDescent="0.35">
      <c r="A1491" s="274">
        <f>MATCH(B1491,STUDIES!$A$3:$A$502,0)</f>
        <v>43</v>
      </c>
      <c r="B1491" s="272" t="s">
        <v>883</v>
      </c>
      <c r="D1491" s="281" t="s">
        <v>1089</v>
      </c>
      <c r="E1491" s="272" t="s">
        <v>1258</v>
      </c>
      <c r="F1491" s="155" t="str">
        <f>_xlfn.XLOOKUP(B1491,STUDIES!$A$3:$A$1063,STUDIES!$G$3:$G$1063,"Not Found!")</f>
        <v>A</v>
      </c>
      <c r="G1491" s="273" t="s">
        <v>147</v>
      </c>
      <c r="H1491" s="273">
        <v>16</v>
      </c>
      <c r="I1491" s="273">
        <v>153</v>
      </c>
      <c r="J1491" s="274">
        <v>116</v>
      </c>
    </row>
    <row r="1492" spans="1:10" ht="18" customHeight="1" x14ac:dyDescent="0.35">
      <c r="A1492" s="274">
        <f>MATCH(B1492,STUDIES!$A$3:$A$502,0)</f>
        <v>43</v>
      </c>
      <c r="B1492" s="272" t="s">
        <v>883</v>
      </c>
      <c r="D1492" s="281" t="s">
        <v>148</v>
      </c>
      <c r="E1492" s="272" t="s">
        <v>1258</v>
      </c>
      <c r="F1492" s="155" t="str">
        <f>_xlfn.XLOOKUP(B1492,STUDIES!$A$3:$A$1063,STUDIES!$G$3:$G$1063,"Not Found!")</f>
        <v>A</v>
      </c>
      <c r="G1492" s="273" t="s">
        <v>147</v>
      </c>
      <c r="H1492" s="273">
        <v>16</v>
      </c>
      <c r="I1492" s="273">
        <v>76</v>
      </c>
      <c r="J1492" s="274">
        <v>17</v>
      </c>
    </row>
    <row r="1493" spans="1:10" ht="18" customHeight="1" x14ac:dyDescent="0.35">
      <c r="A1493" s="274">
        <f>MATCH(B1493,STUDIES!$A$3:$A$502,0)</f>
        <v>43</v>
      </c>
      <c r="B1493" s="272" t="s">
        <v>883</v>
      </c>
      <c r="D1493" s="281" t="s">
        <v>1088</v>
      </c>
      <c r="E1493" s="272" t="s">
        <v>1243</v>
      </c>
      <c r="F1493" s="155" t="str">
        <f>_xlfn.XLOOKUP(B1493,STUDIES!$A$3:$A$1063,STUDIES!$G$3:$G$1063,"Not Found!")</f>
        <v>A</v>
      </c>
      <c r="G1493" s="273" t="s">
        <v>147</v>
      </c>
      <c r="H1493" s="273">
        <v>16</v>
      </c>
      <c r="I1493" s="273">
        <v>156</v>
      </c>
      <c r="J1493" s="274">
        <v>62</v>
      </c>
    </row>
    <row r="1494" spans="1:10" ht="18" customHeight="1" x14ac:dyDescent="0.35">
      <c r="A1494" s="274">
        <f>MATCH(B1494,STUDIES!$A$3:$A$502,0)</f>
        <v>43</v>
      </c>
      <c r="B1494" s="272" t="s">
        <v>883</v>
      </c>
      <c r="D1494" s="281" t="s">
        <v>1089</v>
      </c>
      <c r="E1494" s="272" t="s">
        <v>1243</v>
      </c>
      <c r="F1494" s="155" t="str">
        <f>_xlfn.XLOOKUP(B1494,STUDIES!$A$3:$A$1063,STUDIES!$G$3:$G$1063,"Not Found!")</f>
        <v>A</v>
      </c>
      <c r="G1494" s="273" t="s">
        <v>147</v>
      </c>
      <c r="H1494" s="273">
        <v>16</v>
      </c>
      <c r="I1494" s="273">
        <v>153</v>
      </c>
      <c r="J1494" s="274">
        <v>96</v>
      </c>
    </row>
    <row r="1495" spans="1:10" ht="18" customHeight="1" x14ac:dyDescent="0.35">
      <c r="A1495" s="274">
        <f>MATCH(B1495,STUDIES!$A$3:$A$502,0)</f>
        <v>43</v>
      </c>
      <c r="B1495" s="272" t="s">
        <v>883</v>
      </c>
      <c r="D1495" s="281" t="s">
        <v>148</v>
      </c>
      <c r="E1495" s="272" t="s">
        <v>1243</v>
      </c>
      <c r="F1495" s="155" t="str">
        <f>_xlfn.XLOOKUP(B1495,STUDIES!$A$3:$A$1063,STUDIES!$G$3:$G$1063,"Not Found!")</f>
        <v>A</v>
      </c>
      <c r="G1495" s="273" t="s">
        <v>147</v>
      </c>
      <c r="H1495" s="273">
        <v>16</v>
      </c>
      <c r="I1495" s="273">
        <v>76</v>
      </c>
      <c r="J1495" s="274">
        <v>9</v>
      </c>
    </row>
    <row r="1496" spans="1:10" ht="18" customHeight="1" x14ac:dyDescent="0.35">
      <c r="A1496" s="274">
        <f>MATCH(B1496,STUDIES!$A$3:$A$502,0)</f>
        <v>43</v>
      </c>
      <c r="B1496" s="272" t="s">
        <v>883</v>
      </c>
      <c r="D1496" s="281" t="s">
        <v>1088</v>
      </c>
      <c r="E1496" s="272" t="s">
        <v>1244</v>
      </c>
      <c r="F1496" s="155" t="str">
        <f>_xlfn.XLOOKUP(B1496,STUDIES!$A$3:$A$1063,STUDIES!$G$3:$G$1063,"Not Found!")</f>
        <v>A</v>
      </c>
      <c r="G1496" s="273" t="s">
        <v>147</v>
      </c>
      <c r="H1496" s="273">
        <v>16</v>
      </c>
      <c r="I1496" s="273">
        <v>156</v>
      </c>
      <c r="J1496" s="274">
        <v>29</v>
      </c>
    </row>
    <row r="1497" spans="1:10" ht="18" customHeight="1" x14ac:dyDescent="0.35">
      <c r="A1497" s="274">
        <f>MATCH(B1497,STUDIES!$A$3:$A$502,0)</f>
        <v>43</v>
      </c>
      <c r="B1497" s="272" t="s">
        <v>883</v>
      </c>
      <c r="D1497" s="281" t="s">
        <v>1089</v>
      </c>
      <c r="E1497" s="272" t="s">
        <v>1244</v>
      </c>
      <c r="F1497" s="155" t="str">
        <f>_xlfn.XLOOKUP(B1497,STUDIES!$A$3:$A$1063,STUDIES!$G$3:$G$1063,"Not Found!")</f>
        <v>A</v>
      </c>
      <c r="G1497" s="273" t="s">
        <v>147</v>
      </c>
      <c r="H1497" s="273">
        <v>16</v>
      </c>
      <c r="I1497" s="273">
        <v>153</v>
      </c>
      <c r="J1497" s="274">
        <v>59</v>
      </c>
    </row>
    <row r="1498" spans="1:10" ht="18" customHeight="1" x14ac:dyDescent="0.35">
      <c r="A1498" s="274">
        <f>MATCH(B1498,STUDIES!$A$3:$A$502,0)</f>
        <v>43</v>
      </c>
      <c r="B1498" s="272" t="s">
        <v>883</v>
      </c>
      <c r="D1498" s="281" t="s">
        <v>148</v>
      </c>
      <c r="E1498" s="272" t="s">
        <v>1244</v>
      </c>
      <c r="F1498" s="155" t="str">
        <f>_xlfn.XLOOKUP(B1498,STUDIES!$A$3:$A$1063,STUDIES!$G$3:$G$1063,"Not Found!")</f>
        <v>A</v>
      </c>
      <c r="G1498" s="273" t="s">
        <v>147</v>
      </c>
      <c r="H1498" s="273">
        <v>16</v>
      </c>
      <c r="I1498" s="273">
        <v>76</v>
      </c>
      <c r="J1498" s="274">
        <v>4</v>
      </c>
    </row>
    <row r="1499" spans="1:10" ht="18" customHeight="1" x14ac:dyDescent="0.35">
      <c r="A1499" s="274">
        <f>MATCH(B1499,STUDIES!$A$3:$A$502,0)</f>
        <v>43</v>
      </c>
      <c r="B1499" s="272" t="s">
        <v>883</v>
      </c>
      <c r="D1499" s="281" t="s">
        <v>1088</v>
      </c>
      <c r="E1499" s="272" t="s">
        <v>1268</v>
      </c>
      <c r="F1499" s="155" t="str">
        <f>_xlfn.XLOOKUP(B1499,STUDIES!$A$3:$A$1063,STUDIES!$G$3:$G$1063,"Not Found!")</f>
        <v>A</v>
      </c>
      <c r="G1499" s="273" t="s">
        <v>147</v>
      </c>
      <c r="H1499" s="273">
        <v>16</v>
      </c>
      <c r="I1499" s="273">
        <v>156</v>
      </c>
      <c r="J1499" s="274">
        <v>37</v>
      </c>
    </row>
    <row r="1500" spans="1:10" ht="18" customHeight="1" x14ac:dyDescent="0.35">
      <c r="A1500" s="274">
        <f>MATCH(B1500,STUDIES!$A$3:$A$502,0)</f>
        <v>43</v>
      </c>
      <c r="B1500" s="272" t="s">
        <v>883</v>
      </c>
      <c r="D1500" s="281" t="s">
        <v>1089</v>
      </c>
      <c r="E1500" s="272" t="s">
        <v>1268</v>
      </c>
      <c r="F1500" s="155" t="str">
        <f>_xlfn.XLOOKUP(B1500,STUDIES!$A$3:$A$1063,STUDIES!$G$3:$G$1063,"Not Found!")</f>
        <v>A</v>
      </c>
      <c r="G1500" s="273" t="s">
        <v>147</v>
      </c>
      <c r="H1500" s="273">
        <v>16</v>
      </c>
      <c r="I1500" s="273">
        <v>153</v>
      </c>
      <c r="J1500" s="274">
        <v>67</v>
      </c>
    </row>
    <row r="1501" spans="1:10" ht="18" customHeight="1" x14ac:dyDescent="0.35">
      <c r="A1501" s="274">
        <f>MATCH(B1501,STUDIES!$A$3:$A$502,0)</f>
        <v>43</v>
      </c>
      <c r="B1501" s="272" t="s">
        <v>883</v>
      </c>
      <c r="D1501" s="281" t="s">
        <v>148</v>
      </c>
      <c r="E1501" s="272" t="s">
        <v>1268</v>
      </c>
      <c r="F1501" s="155" t="str">
        <f>_xlfn.XLOOKUP(B1501,STUDIES!$A$3:$A$1063,STUDIES!$G$3:$G$1063,"Not Found!")</f>
        <v>A</v>
      </c>
      <c r="G1501" s="273" t="s">
        <v>147</v>
      </c>
      <c r="H1501" s="273">
        <v>16</v>
      </c>
      <c r="I1501" s="273">
        <v>76</v>
      </c>
      <c r="J1501" s="274">
        <v>6</v>
      </c>
    </row>
    <row r="1502" spans="1:10" ht="18" customHeight="1" x14ac:dyDescent="0.35">
      <c r="A1502" s="274">
        <f>MATCH(B1502,STUDIES!$A$3:$A$502,0)</f>
        <v>44</v>
      </c>
      <c r="B1502" s="272" t="s">
        <v>748</v>
      </c>
      <c r="D1502" s="281" t="s">
        <v>1058</v>
      </c>
      <c r="E1502" s="272" t="s">
        <v>1258</v>
      </c>
      <c r="F1502" s="155" t="str">
        <f>_xlfn.XLOOKUP(B1502,STUDIES!$A$3:$A$1063,STUDIES!$G$3:$G$1063,"Not Found!")</f>
        <v>BC</v>
      </c>
      <c r="G1502" s="273" t="s">
        <v>147</v>
      </c>
      <c r="H1502" s="273">
        <v>16</v>
      </c>
      <c r="I1502" s="273">
        <v>82</v>
      </c>
      <c r="J1502" s="274">
        <v>50</v>
      </c>
    </row>
    <row r="1503" spans="1:10" ht="18" customHeight="1" x14ac:dyDescent="0.35">
      <c r="A1503" s="274">
        <f>MATCH(B1503,STUDIES!$A$3:$A$502,0)</f>
        <v>44</v>
      </c>
      <c r="B1503" s="272" t="s">
        <v>748</v>
      </c>
      <c r="D1503" s="281" t="s">
        <v>1057</v>
      </c>
      <c r="E1503" s="272" t="s">
        <v>1258</v>
      </c>
      <c r="F1503" s="155" t="str">
        <f>_xlfn.XLOOKUP(B1503,STUDIES!$A$3:$A$1063,STUDIES!$G$3:$G$1063,"Not Found!")</f>
        <v>BC</v>
      </c>
      <c r="G1503" s="273" t="s">
        <v>147</v>
      </c>
      <c r="H1503" s="273">
        <v>16</v>
      </c>
      <c r="I1503" s="273">
        <v>84</v>
      </c>
      <c r="J1503" s="274">
        <v>46</v>
      </c>
    </row>
    <row r="1504" spans="1:10" ht="18" customHeight="1" x14ac:dyDescent="0.35">
      <c r="A1504" s="274">
        <f>MATCH(B1504,STUDIES!$A$3:$A$502,0)</f>
        <v>44</v>
      </c>
      <c r="B1504" s="272" t="s">
        <v>748</v>
      </c>
      <c r="D1504" s="281" t="s">
        <v>148</v>
      </c>
      <c r="E1504" s="272" t="s">
        <v>1258</v>
      </c>
      <c r="F1504" s="155" t="str">
        <f>_xlfn.XLOOKUP(B1504,STUDIES!$A$3:$A$1063,STUDIES!$G$3:$G$1063,"Not Found!")</f>
        <v>BC</v>
      </c>
      <c r="G1504" s="273" t="s">
        <v>147</v>
      </c>
      <c r="H1504" s="273">
        <v>16</v>
      </c>
      <c r="I1504" s="273">
        <v>85</v>
      </c>
      <c r="J1504" s="274">
        <v>11</v>
      </c>
    </row>
    <row r="1505" spans="1:10" ht="18" customHeight="1" x14ac:dyDescent="0.35">
      <c r="A1505" s="274">
        <f>MATCH(B1505,STUDIES!$A$3:$A$502,0)</f>
        <v>44</v>
      </c>
      <c r="B1505" s="272" t="s">
        <v>748</v>
      </c>
      <c r="D1505" s="281" t="s">
        <v>1058</v>
      </c>
      <c r="E1505" s="272" t="s">
        <v>1243</v>
      </c>
      <c r="F1505" s="155" t="str">
        <f>_xlfn.XLOOKUP(B1505,STUDIES!$A$3:$A$1063,STUDIES!$G$3:$G$1063,"Not Found!")</f>
        <v>BC</v>
      </c>
      <c r="G1505" s="273" t="s">
        <v>147</v>
      </c>
      <c r="H1505" s="273">
        <v>16</v>
      </c>
      <c r="I1505" s="273">
        <v>82</v>
      </c>
      <c r="J1505" s="274">
        <v>34</v>
      </c>
    </row>
    <row r="1506" spans="1:10" ht="18" customHeight="1" x14ac:dyDescent="0.35">
      <c r="A1506" s="274">
        <f>MATCH(B1506,STUDIES!$A$3:$A$502,0)</f>
        <v>44</v>
      </c>
      <c r="B1506" s="272" t="s">
        <v>748</v>
      </c>
      <c r="D1506" s="281" t="s">
        <v>1057</v>
      </c>
      <c r="E1506" s="272" t="s">
        <v>1243</v>
      </c>
      <c r="F1506" s="155" t="str">
        <f>_xlfn.XLOOKUP(B1506,STUDIES!$A$3:$A$1063,STUDIES!$G$3:$G$1063,"Not Found!")</f>
        <v>BC</v>
      </c>
      <c r="G1506" s="273" t="s">
        <v>147</v>
      </c>
      <c r="H1506" s="273">
        <v>16</v>
      </c>
      <c r="I1506" s="273">
        <v>84</v>
      </c>
      <c r="J1506" s="274">
        <v>32</v>
      </c>
    </row>
    <row r="1507" spans="1:10" ht="18" customHeight="1" x14ac:dyDescent="0.35">
      <c r="A1507" s="274">
        <f>MATCH(B1507,STUDIES!$A$3:$A$502,0)</f>
        <v>44</v>
      </c>
      <c r="B1507" s="272" t="s">
        <v>748</v>
      </c>
      <c r="D1507" s="281" t="s">
        <v>148</v>
      </c>
      <c r="E1507" s="272" t="s">
        <v>1243</v>
      </c>
      <c r="F1507" s="155" t="str">
        <f>_xlfn.XLOOKUP(B1507,STUDIES!$A$3:$A$1063,STUDIES!$G$3:$G$1063,"Not Found!")</f>
        <v>BC</v>
      </c>
      <c r="G1507" s="273" t="s">
        <v>147</v>
      </c>
      <c r="H1507" s="273">
        <v>16</v>
      </c>
      <c r="I1507" s="273">
        <v>85</v>
      </c>
      <c r="J1507" s="274">
        <v>7</v>
      </c>
    </row>
    <row r="1508" spans="1:10" ht="18" customHeight="1" x14ac:dyDescent="0.35">
      <c r="A1508" s="274">
        <f>MATCH(B1508,STUDIES!$A$3:$A$502,0)</f>
        <v>44</v>
      </c>
      <c r="B1508" s="272" t="s">
        <v>748</v>
      </c>
      <c r="D1508" s="281" t="s">
        <v>1058</v>
      </c>
      <c r="E1508" s="272" t="s">
        <v>1244</v>
      </c>
      <c r="F1508" s="155" t="str">
        <f>_xlfn.XLOOKUP(B1508,STUDIES!$A$3:$A$1063,STUDIES!$G$3:$G$1063,"Not Found!")</f>
        <v>BC</v>
      </c>
      <c r="G1508" s="273" t="s">
        <v>147</v>
      </c>
      <c r="H1508" s="273">
        <v>16</v>
      </c>
      <c r="I1508" s="273">
        <v>82</v>
      </c>
      <c r="J1508" s="274">
        <v>19</v>
      </c>
    </row>
    <row r="1509" spans="1:10" ht="18" customHeight="1" x14ac:dyDescent="0.35">
      <c r="A1509" s="274">
        <f>MATCH(B1509,STUDIES!$A$3:$A$502,0)</f>
        <v>44</v>
      </c>
      <c r="B1509" s="272" t="s">
        <v>748</v>
      </c>
      <c r="D1509" s="281" t="s">
        <v>1057</v>
      </c>
      <c r="E1509" s="272" t="s">
        <v>1244</v>
      </c>
      <c r="F1509" s="155" t="str">
        <f>_xlfn.XLOOKUP(B1509,STUDIES!$A$3:$A$1063,STUDIES!$G$3:$G$1063,"Not Found!")</f>
        <v>BC</v>
      </c>
      <c r="G1509" s="273" t="s">
        <v>147</v>
      </c>
      <c r="H1509" s="273">
        <v>16</v>
      </c>
      <c r="I1509" s="273">
        <v>84</v>
      </c>
      <c r="J1509" s="274">
        <v>16</v>
      </c>
    </row>
    <row r="1510" spans="1:10" ht="18" customHeight="1" x14ac:dyDescent="0.35">
      <c r="A1510" s="274">
        <f>MATCH(B1510,STUDIES!$A$3:$A$502,0)</f>
        <v>44</v>
      </c>
      <c r="B1510" s="272" t="s">
        <v>748</v>
      </c>
      <c r="D1510" s="281" t="s">
        <v>148</v>
      </c>
      <c r="E1510" s="272" t="s">
        <v>1244</v>
      </c>
      <c r="F1510" s="155" t="str">
        <f>_xlfn.XLOOKUP(B1510,STUDIES!$A$3:$A$1063,STUDIES!$G$3:$G$1063,"Not Found!")</f>
        <v>BC</v>
      </c>
      <c r="G1510" s="273" t="s">
        <v>147</v>
      </c>
      <c r="H1510" s="273">
        <v>16</v>
      </c>
      <c r="I1510" s="273">
        <v>85</v>
      </c>
      <c r="J1510" s="274">
        <v>2</v>
      </c>
    </row>
    <row r="1511" spans="1:10" ht="18" customHeight="1" x14ac:dyDescent="0.35">
      <c r="A1511" s="274">
        <f>MATCH(B1511,STUDIES!$A$3:$A$502,0)</f>
        <v>44</v>
      </c>
      <c r="B1511" s="272" t="s">
        <v>748</v>
      </c>
      <c r="D1511" s="281" t="s">
        <v>1058</v>
      </c>
      <c r="E1511" s="272" t="s">
        <v>1268</v>
      </c>
      <c r="F1511" s="155" t="str">
        <f>_xlfn.XLOOKUP(B1511,STUDIES!$A$3:$A$1063,STUDIES!$G$3:$G$1063,"Not Found!")</f>
        <v>BC</v>
      </c>
      <c r="G1511" s="273" t="s">
        <v>147</v>
      </c>
      <c r="H1511" s="273">
        <v>16</v>
      </c>
      <c r="I1511" s="273">
        <v>82</v>
      </c>
      <c r="J1511" s="274">
        <v>20</v>
      </c>
    </row>
    <row r="1512" spans="1:10" ht="18" customHeight="1" x14ac:dyDescent="0.35">
      <c r="A1512" s="274">
        <f>MATCH(B1512,STUDIES!$A$3:$A$502,0)</f>
        <v>44</v>
      </c>
      <c r="B1512" s="272" t="s">
        <v>748</v>
      </c>
      <c r="D1512" s="281" t="s">
        <v>1057</v>
      </c>
      <c r="E1512" s="272" t="s">
        <v>1268</v>
      </c>
      <c r="F1512" s="155" t="str">
        <f>_xlfn.XLOOKUP(B1512,STUDIES!$A$3:$A$1063,STUDIES!$G$3:$G$1063,"Not Found!")</f>
        <v>BC</v>
      </c>
      <c r="G1512" s="273" t="s">
        <v>147</v>
      </c>
      <c r="H1512" s="273">
        <v>16</v>
      </c>
      <c r="I1512" s="273">
        <v>84</v>
      </c>
      <c r="J1512" s="274">
        <v>15</v>
      </c>
    </row>
    <row r="1513" spans="1:10" ht="18" customHeight="1" x14ac:dyDescent="0.35">
      <c r="A1513" s="274">
        <f>MATCH(B1513,STUDIES!$A$3:$A$502,0)</f>
        <v>44</v>
      </c>
      <c r="B1513" s="272" t="s">
        <v>748</v>
      </c>
      <c r="D1513" s="281" t="s">
        <v>148</v>
      </c>
      <c r="E1513" s="272" t="s">
        <v>1268</v>
      </c>
      <c r="F1513" s="155" t="str">
        <f>_xlfn.XLOOKUP(B1513,STUDIES!$A$3:$A$1063,STUDIES!$G$3:$G$1063,"Not Found!")</f>
        <v>BC</v>
      </c>
      <c r="G1513" s="273" t="s">
        <v>147</v>
      </c>
      <c r="H1513" s="273">
        <v>16</v>
      </c>
      <c r="I1513" s="273">
        <v>85</v>
      </c>
      <c r="J1513" s="274">
        <v>2</v>
      </c>
    </row>
    <row r="1514" spans="1:10" ht="18" customHeight="1" x14ac:dyDescent="0.35">
      <c r="A1514" s="274">
        <f>MATCH(B1514,STUDIES!$A$3:$A$502,0)</f>
        <v>46</v>
      </c>
      <c r="B1514" s="272" t="s">
        <v>316</v>
      </c>
      <c r="D1514" s="281" t="s">
        <v>1052</v>
      </c>
      <c r="E1514" s="272" t="s">
        <v>1258</v>
      </c>
      <c r="F1514" s="155" t="str">
        <f>_xlfn.XLOOKUP(B1514,STUDIES!$A$3:$A$1063,STUDIES!$G$3:$G$1063,"Not Found!")</f>
        <v>A</v>
      </c>
      <c r="G1514" s="273" t="s">
        <v>147</v>
      </c>
      <c r="H1514" s="273">
        <v>16</v>
      </c>
      <c r="I1514" s="273">
        <v>65</v>
      </c>
      <c r="J1514" s="274">
        <v>29</v>
      </c>
    </row>
    <row r="1515" spans="1:10" ht="18" customHeight="1" x14ac:dyDescent="0.35">
      <c r="A1515" s="274">
        <f>MATCH(B1515,STUDIES!$A$3:$A$502,0)</f>
        <v>46</v>
      </c>
      <c r="B1515" s="272" t="s">
        <v>316</v>
      </c>
      <c r="D1515" s="281" t="s">
        <v>1053</v>
      </c>
      <c r="E1515" s="272" t="s">
        <v>1258</v>
      </c>
      <c r="F1515" s="155" t="str">
        <f>_xlfn.XLOOKUP(B1515,STUDIES!$A$3:$A$1063,STUDIES!$G$3:$G$1063,"Not Found!")</f>
        <v>A</v>
      </c>
      <c r="G1515" s="273" t="s">
        <v>147</v>
      </c>
      <c r="H1515" s="273">
        <v>16</v>
      </c>
      <c r="I1515" s="273">
        <v>61</v>
      </c>
      <c r="J1515" s="274">
        <v>38</v>
      </c>
    </row>
    <row r="1516" spans="1:10" ht="18" customHeight="1" x14ac:dyDescent="0.35">
      <c r="A1516" s="274">
        <f>MATCH(B1516,STUDIES!$A$3:$A$502,0)</f>
        <v>46</v>
      </c>
      <c r="B1516" s="272" t="s">
        <v>316</v>
      </c>
      <c r="D1516" s="281" t="s">
        <v>1056</v>
      </c>
      <c r="E1516" s="272" t="s">
        <v>1258</v>
      </c>
      <c r="F1516" s="155" t="str">
        <f>_xlfn.XLOOKUP(B1516,STUDIES!$A$3:$A$1063,STUDIES!$G$3:$G$1063,"Not Found!")</f>
        <v>A</v>
      </c>
      <c r="G1516" s="273" t="s">
        <v>147</v>
      </c>
      <c r="H1516" s="273">
        <v>16</v>
      </c>
      <c r="I1516" s="273">
        <v>64</v>
      </c>
      <c r="J1516" s="274">
        <v>50</v>
      </c>
    </row>
    <row r="1517" spans="1:10" ht="18" customHeight="1" x14ac:dyDescent="0.35">
      <c r="A1517" s="274">
        <f>MATCH(B1517,STUDIES!$A$3:$A$502,0)</f>
        <v>46</v>
      </c>
      <c r="B1517" s="272" t="s">
        <v>316</v>
      </c>
      <c r="D1517" s="281" t="s">
        <v>1057</v>
      </c>
      <c r="E1517" s="272" t="s">
        <v>1258</v>
      </c>
      <c r="F1517" s="155" t="str">
        <f>_xlfn.XLOOKUP(B1517,STUDIES!$A$3:$A$1063,STUDIES!$G$3:$G$1063,"Not Found!")</f>
        <v>A</v>
      </c>
      <c r="G1517" s="273" t="s">
        <v>147</v>
      </c>
      <c r="H1517" s="273">
        <v>16</v>
      </c>
      <c r="I1517" s="273">
        <v>65</v>
      </c>
      <c r="J1517" s="274">
        <v>46</v>
      </c>
    </row>
    <row r="1518" spans="1:10" ht="18" customHeight="1" x14ac:dyDescent="0.35">
      <c r="A1518" s="274">
        <f>MATCH(B1518,STUDIES!$A$3:$A$502,0)</f>
        <v>46</v>
      </c>
      <c r="B1518" s="272" t="s">
        <v>316</v>
      </c>
      <c r="D1518" s="281" t="s">
        <v>1059</v>
      </c>
      <c r="E1518" s="272" t="s">
        <v>1258</v>
      </c>
      <c r="F1518" s="155" t="str">
        <f>_xlfn.XLOOKUP(B1518,STUDIES!$A$3:$A$1063,STUDIES!$G$3:$G$1063,"Not Found!")</f>
        <v>A</v>
      </c>
      <c r="G1518" s="273" t="s">
        <v>147</v>
      </c>
      <c r="H1518" s="273">
        <v>16</v>
      </c>
      <c r="I1518" s="273">
        <v>63</v>
      </c>
      <c r="J1518" s="274">
        <v>52</v>
      </c>
    </row>
    <row r="1519" spans="1:10" ht="18" customHeight="1" x14ac:dyDescent="0.35">
      <c r="A1519" s="274">
        <f>MATCH(B1519,STUDIES!$A$3:$A$502,0)</f>
        <v>46</v>
      </c>
      <c r="B1519" s="272" t="s">
        <v>316</v>
      </c>
      <c r="D1519" s="281" t="s">
        <v>148</v>
      </c>
      <c r="E1519" s="272" t="s">
        <v>1258</v>
      </c>
      <c r="F1519" s="155" t="str">
        <f>_xlfn.XLOOKUP(B1519,STUDIES!$A$3:$A$1063,STUDIES!$G$3:$G$1063,"Not Found!")</f>
        <v>A</v>
      </c>
      <c r="G1519" s="273" t="s">
        <v>147</v>
      </c>
      <c r="H1519" s="273">
        <v>16</v>
      </c>
      <c r="I1519" s="273">
        <v>61</v>
      </c>
      <c r="J1519" s="274">
        <v>18</v>
      </c>
    </row>
    <row r="1520" spans="1:10" ht="18" customHeight="1" x14ac:dyDescent="0.35">
      <c r="A1520" s="274">
        <f>MATCH(B1520,STUDIES!$A$3:$A$502,0)</f>
        <v>46</v>
      </c>
      <c r="B1520" s="272" t="s">
        <v>316</v>
      </c>
      <c r="D1520" s="281" t="s">
        <v>1052</v>
      </c>
      <c r="E1520" s="272" t="s">
        <v>1243</v>
      </c>
      <c r="F1520" s="155" t="str">
        <f>_xlfn.XLOOKUP(B1520,STUDIES!$A$3:$A$1063,STUDIES!$G$3:$G$1063,"Not Found!")</f>
        <v>A</v>
      </c>
      <c r="G1520" s="273" t="s">
        <v>147</v>
      </c>
      <c r="H1520" s="273">
        <v>16</v>
      </c>
      <c r="I1520" s="273">
        <v>65</v>
      </c>
      <c r="J1520" s="274">
        <v>19</v>
      </c>
    </row>
    <row r="1521" spans="1:10" ht="18" customHeight="1" x14ac:dyDescent="0.35">
      <c r="A1521" s="274">
        <f>MATCH(B1521,STUDIES!$A$3:$A$502,0)</f>
        <v>46</v>
      </c>
      <c r="B1521" s="272" t="s">
        <v>316</v>
      </c>
      <c r="D1521" s="281" t="s">
        <v>1053</v>
      </c>
      <c r="E1521" s="272" t="s">
        <v>1243</v>
      </c>
      <c r="F1521" s="155" t="str">
        <f>_xlfn.XLOOKUP(B1521,STUDIES!$A$3:$A$1063,STUDIES!$G$3:$G$1063,"Not Found!")</f>
        <v>A</v>
      </c>
      <c r="G1521" s="273" t="s">
        <v>147</v>
      </c>
      <c r="H1521" s="273">
        <v>16</v>
      </c>
      <c r="I1521" s="273">
        <v>61</v>
      </c>
      <c r="J1521" s="274">
        <v>34</v>
      </c>
    </row>
    <row r="1522" spans="1:10" ht="18" customHeight="1" x14ac:dyDescent="0.35">
      <c r="A1522" s="274">
        <f>MATCH(B1522,STUDIES!$A$3:$A$502,0)</f>
        <v>46</v>
      </c>
      <c r="B1522" s="272" t="s">
        <v>316</v>
      </c>
      <c r="D1522" s="281" t="s">
        <v>1056</v>
      </c>
      <c r="E1522" s="272" t="s">
        <v>1243</v>
      </c>
      <c r="F1522" s="155" t="str">
        <f>_xlfn.XLOOKUP(B1522,STUDIES!$A$3:$A$1063,STUDIES!$G$3:$G$1063,"Not Found!")</f>
        <v>A</v>
      </c>
      <c r="G1522" s="273" t="s">
        <v>147</v>
      </c>
      <c r="H1522" s="273">
        <v>16</v>
      </c>
      <c r="I1522" s="273">
        <v>64</v>
      </c>
      <c r="J1522" s="274">
        <v>34</v>
      </c>
    </row>
    <row r="1523" spans="1:10" ht="18" customHeight="1" x14ac:dyDescent="0.35">
      <c r="A1523" s="274">
        <f>MATCH(B1523,STUDIES!$A$3:$A$502,0)</f>
        <v>46</v>
      </c>
      <c r="B1523" s="272" t="s">
        <v>316</v>
      </c>
      <c r="D1523" s="281" t="s">
        <v>1057</v>
      </c>
      <c r="E1523" s="272" t="s">
        <v>1243</v>
      </c>
      <c r="F1523" s="155" t="str">
        <f>_xlfn.XLOOKUP(B1523,STUDIES!$A$3:$A$1063,STUDIES!$G$3:$G$1063,"Not Found!")</f>
        <v>A</v>
      </c>
      <c r="G1523" s="273" t="s">
        <v>147</v>
      </c>
      <c r="H1523" s="273">
        <v>16</v>
      </c>
      <c r="I1523" s="273">
        <v>65</v>
      </c>
      <c r="J1523" s="274">
        <v>32</v>
      </c>
    </row>
    <row r="1524" spans="1:10" ht="18" customHeight="1" x14ac:dyDescent="0.35">
      <c r="A1524" s="274">
        <f>MATCH(B1524,STUDIES!$A$3:$A$502,0)</f>
        <v>46</v>
      </c>
      <c r="B1524" s="272" t="s">
        <v>316</v>
      </c>
      <c r="D1524" s="281" t="s">
        <v>1059</v>
      </c>
      <c r="E1524" s="272" t="s">
        <v>1243</v>
      </c>
      <c r="F1524" s="155" t="str">
        <f>_xlfn.XLOOKUP(B1524,STUDIES!$A$3:$A$1063,STUDIES!$G$3:$G$1063,"Not Found!")</f>
        <v>A</v>
      </c>
      <c r="G1524" s="273" t="s">
        <v>147</v>
      </c>
      <c r="H1524" s="273">
        <v>16</v>
      </c>
      <c r="I1524" s="273">
        <v>63</v>
      </c>
      <c r="J1524" s="274">
        <v>38</v>
      </c>
    </row>
    <row r="1525" spans="1:10" ht="18" customHeight="1" x14ac:dyDescent="0.35">
      <c r="A1525" s="274">
        <f>MATCH(B1525,STUDIES!$A$3:$A$502,0)</f>
        <v>46</v>
      </c>
      <c r="B1525" s="272" t="s">
        <v>316</v>
      </c>
      <c r="D1525" s="281" t="s">
        <v>148</v>
      </c>
      <c r="E1525" s="272" t="s">
        <v>1243</v>
      </c>
      <c r="F1525" s="155" t="str">
        <f>_xlfn.XLOOKUP(B1525,STUDIES!$A$3:$A$1063,STUDIES!$G$3:$G$1063,"Not Found!")</f>
        <v>A</v>
      </c>
      <c r="G1525" s="273" t="s">
        <v>147</v>
      </c>
      <c r="H1525" s="273">
        <v>16</v>
      </c>
      <c r="I1525" s="273">
        <v>61</v>
      </c>
      <c r="J1525" s="274">
        <v>7</v>
      </c>
    </row>
    <row r="1526" spans="1:10" ht="18" customHeight="1" x14ac:dyDescent="0.35">
      <c r="A1526" s="274">
        <f>MATCH(B1526,STUDIES!$A$3:$A$502,0)</f>
        <v>46</v>
      </c>
      <c r="B1526" s="272" t="s">
        <v>316</v>
      </c>
      <c r="D1526" s="281" t="s">
        <v>1052</v>
      </c>
      <c r="E1526" s="272" t="s">
        <v>1244</v>
      </c>
      <c r="F1526" s="155" t="str">
        <f>_xlfn.XLOOKUP(B1526,STUDIES!$A$3:$A$1063,STUDIES!$G$3:$G$1063,"Not Found!")</f>
        <v>A</v>
      </c>
      <c r="G1526" s="273" t="s">
        <v>147</v>
      </c>
      <c r="H1526" s="273">
        <v>16</v>
      </c>
      <c r="I1526" s="273">
        <v>65</v>
      </c>
      <c r="J1526" s="274">
        <v>10</v>
      </c>
    </row>
    <row r="1527" spans="1:10" ht="18" customHeight="1" x14ac:dyDescent="0.35">
      <c r="A1527" s="274">
        <f>MATCH(B1527,STUDIES!$A$3:$A$502,0)</f>
        <v>46</v>
      </c>
      <c r="B1527" s="272" t="s">
        <v>316</v>
      </c>
      <c r="D1527" s="281" t="s">
        <v>1053</v>
      </c>
      <c r="E1527" s="272" t="s">
        <v>1244</v>
      </c>
      <c r="F1527" s="155" t="str">
        <f>_xlfn.XLOOKUP(B1527,STUDIES!$A$3:$A$1063,STUDIES!$G$3:$G$1063,"Not Found!")</f>
        <v>A</v>
      </c>
      <c r="G1527" s="273" t="s">
        <v>147</v>
      </c>
      <c r="H1527" s="273">
        <v>16</v>
      </c>
      <c r="I1527" s="273">
        <v>61</v>
      </c>
      <c r="J1527" s="274">
        <v>19</v>
      </c>
    </row>
    <row r="1528" spans="1:10" ht="18" customHeight="1" x14ac:dyDescent="0.35">
      <c r="A1528" s="274">
        <f>MATCH(B1528,STUDIES!$A$3:$A$502,0)</f>
        <v>46</v>
      </c>
      <c r="B1528" s="272" t="s">
        <v>316</v>
      </c>
      <c r="D1528" s="281" t="s">
        <v>1056</v>
      </c>
      <c r="E1528" s="272" t="s">
        <v>1244</v>
      </c>
      <c r="F1528" s="155" t="str">
        <f>_xlfn.XLOOKUP(B1528,STUDIES!$A$3:$A$1063,STUDIES!$G$3:$G$1063,"Not Found!")</f>
        <v>A</v>
      </c>
      <c r="G1528" s="273" t="s">
        <v>147</v>
      </c>
      <c r="H1528" s="273">
        <v>16</v>
      </c>
      <c r="I1528" s="273">
        <v>64</v>
      </c>
      <c r="J1528" s="274">
        <v>19</v>
      </c>
    </row>
    <row r="1529" spans="1:10" ht="18" customHeight="1" x14ac:dyDescent="0.35">
      <c r="A1529" s="274">
        <f>MATCH(B1529,STUDIES!$A$3:$A$502,0)</f>
        <v>46</v>
      </c>
      <c r="B1529" s="272" t="s">
        <v>316</v>
      </c>
      <c r="D1529" s="281" t="s">
        <v>1057</v>
      </c>
      <c r="E1529" s="272" t="s">
        <v>1244</v>
      </c>
      <c r="F1529" s="155" t="str">
        <f>_xlfn.XLOOKUP(B1529,STUDIES!$A$3:$A$1063,STUDIES!$G$3:$G$1063,"Not Found!")</f>
        <v>A</v>
      </c>
      <c r="G1529" s="273" t="s">
        <v>147</v>
      </c>
      <c r="H1529" s="273">
        <v>16</v>
      </c>
      <c r="I1529" s="273">
        <v>65</v>
      </c>
      <c r="J1529" s="274">
        <v>19</v>
      </c>
    </row>
    <row r="1530" spans="1:10" ht="18" customHeight="1" x14ac:dyDescent="0.35">
      <c r="A1530" s="274">
        <f>MATCH(B1530,STUDIES!$A$3:$A$502,0)</f>
        <v>46</v>
      </c>
      <c r="B1530" s="272" t="s">
        <v>316</v>
      </c>
      <c r="D1530" s="281" t="s">
        <v>1059</v>
      </c>
      <c r="E1530" s="272" t="s">
        <v>1244</v>
      </c>
      <c r="F1530" s="155" t="str">
        <f>_xlfn.XLOOKUP(B1530,STUDIES!$A$3:$A$1063,STUDIES!$G$3:$G$1063,"Not Found!")</f>
        <v>A</v>
      </c>
      <c r="G1530" s="273" t="s">
        <v>147</v>
      </c>
      <c r="H1530" s="273">
        <v>16</v>
      </c>
      <c r="I1530" s="273">
        <v>63</v>
      </c>
      <c r="J1530" s="274">
        <v>23</v>
      </c>
    </row>
    <row r="1531" spans="1:10" ht="18" customHeight="1" x14ac:dyDescent="0.35">
      <c r="A1531" s="274">
        <f>MATCH(B1531,STUDIES!$A$3:$A$502,0)</f>
        <v>46</v>
      </c>
      <c r="B1531" s="272" t="s">
        <v>316</v>
      </c>
      <c r="D1531" s="281" t="s">
        <v>148</v>
      </c>
      <c r="E1531" s="272" t="s">
        <v>1244</v>
      </c>
      <c r="F1531" s="155" t="str">
        <f>_xlfn.XLOOKUP(B1531,STUDIES!$A$3:$A$1063,STUDIES!$G$3:$G$1063,"Not Found!")</f>
        <v>A</v>
      </c>
      <c r="G1531" s="273" t="s">
        <v>147</v>
      </c>
      <c r="H1531" s="273">
        <v>16</v>
      </c>
      <c r="I1531" s="273">
        <v>61</v>
      </c>
      <c r="J1531" s="274">
        <v>2</v>
      </c>
    </row>
    <row r="1532" spans="1:10" ht="18" customHeight="1" x14ac:dyDescent="0.35">
      <c r="A1532" s="274">
        <f>MATCH(B1532,STUDIES!$A$3:$A$502,0)</f>
        <v>46</v>
      </c>
      <c r="B1532" s="272" t="s">
        <v>316</v>
      </c>
      <c r="D1532" s="281" t="s">
        <v>1052</v>
      </c>
      <c r="E1532" s="272" t="s">
        <v>1268</v>
      </c>
      <c r="F1532" s="155" t="str">
        <f>_xlfn.XLOOKUP(B1532,STUDIES!$A$3:$A$1063,STUDIES!$G$3:$G$1063,"Not Found!")</f>
        <v>A</v>
      </c>
      <c r="G1532" s="273" t="s">
        <v>147</v>
      </c>
      <c r="H1532" s="273">
        <v>16</v>
      </c>
      <c r="I1532" s="273">
        <v>65</v>
      </c>
      <c r="J1532" s="274">
        <v>8</v>
      </c>
    </row>
    <row r="1533" spans="1:10" ht="18" customHeight="1" x14ac:dyDescent="0.35">
      <c r="A1533" s="274">
        <f>MATCH(B1533,STUDIES!$A$3:$A$502,0)</f>
        <v>46</v>
      </c>
      <c r="B1533" s="272" t="s">
        <v>316</v>
      </c>
      <c r="D1533" s="281" t="s">
        <v>1053</v>
      </c>
      <c r="E1533" s="272" t="s">
        <v>1268</v>
      </c>
      <c r="F1533" s="155" t="str">
        <f>_xlfn.XLOOKUP(B1533,STUDIES!$A$3:$A$1063,STUDIES!$G$3:$G$1063,"Not Found!")</f>
        <v>A</v>
      </c>
      <c r="G1533" s="273" t="s">
        <v>147</v>
      </c>
      <c r="H1533" s="273">
        <v>16</v>
      </c>
      <c r="I1533" s="273">
        <v>61</v>
      </c>
      <c r="J1533" s="274">
        <v>17</v>
      </c>
    </row>
    <row r="1534" spans="1:10" ht="18" customHeight="1" x14ac:dyDescent="0.35">
      <c r="A1534" s="274">
        <f>MATCH(B1534,STUDIES!$A$3:$A$502,0)</f>
        <v>46</v>
      </c>
      <c r="B1534" s="272" t="s">
        <v>316</v>
      </c>
      <c r="D1534" s="281" t="s">
        <v>1056</v>
      </c>
      <c r="E1534" s="272" t="s">
        <v>1268</v>
      </c>
      <c r="F1534" s="155" t="str">
        <f>_xlfn.XLOOKUP(B1534,STUDIES!$A$3:$A$1063,STUDIES!$G$3:$G$1063,"Not Found!")</f>
        <v>A</v>
      </c>
      <c r="G1534" s="273" t="s">
        <v>147</v>
      </c>
      <c r="H1534" s="273">
        <v>16</v>
      </c>
      <c r="I1534" s="273">
        <v>64</v>
      </c>
      <c r="J1534" s="274">
        <v>19</v>
      </c>
    </row>
    <row r="1535" spans="1:10" ht="18" customHeight="1" x14ac:dyDescent="0.35">
      <c r="A1535" s="274">
        <f>MATCH(B1535,STUDIES!$A$3:$A$502,0)</f>
        <v>46</v>
      </c>
      <c r="B1535" s="272" t="s">
        <v>316</v>
      </c>
      <c r="D1535" s="281" t="s">
        <v>1057</v>
      </c>
      <c r="E1535" s="272" t="s">
        <v>1268</v>
      </c>
      <c r="F1535" s="155" t="str">
        <f>_xlfn.XLOOKUP(B1535,STUDIES!$A$3:$A$1063,STUDIES!$G$3:$G$1063,"Not Found!")</f>
        <v>A</v>
      </c>
      <c r="G1535" s="273" t="s">
        <v>147</v>
      </c>
      <c r="H1535" s="273">
        <v>16</v>
      </c>
      <c r="I1535" s="273">
        <v>65</v>
      </c>
      <c r="J1535" s="274">
        <v>14</v>
      </c>
    </row>
    <row r="1536" spans="1:10" ht="18" customHeight="1" x14ac:dyDescent="0.35">
      <c r="A1536" s="274">
        <f>MATCH(B1536,STUDIES!$A$3:$A$502,0)</f>
        <v>46</v>
      </c>
      <c r="B1536" s="272" t="s">
        <v>316</v>
      </c>
      <c r="D1536" s="281" t="s">
        <v>1059</v>
      </c>
      <c r="E1536" s="272" t="s">
        <v>1268</v>
      </c>
      <c r="F1536" s="155" t="str">
        <f>_xlfn.XLOOKUP(B1536,STUDIES!$A$3:$A$1063,STUDIES!$G$3:$G$1063,"Not Found!")</f>
        <v>A</v>
      </c>
      <c r="G1536" s="273" t="s">
        <v>147</v>
      </c>
      <c r="H1536" s="273">
        <v>16</v>
      </c>
      <c r="I1536" s="273">
        <v>63</v>
      </c>
      <c r="J1536" s="274">
        <v>21</v>
      </c>
    </row>
    <row r="1537" spans="1:10" ht="18" customHeight="1" x14ac:dyDescent="0.35">
      <c r="A1537" s="274">
        <f>MATCH(B1537,STUDIES!$A$3:$A$502,0)</f>
        <v>46</v>
      </c>
      <c r="B1537" s="272" t="s">
        <v>316</v>
      </c>
      <c r="D1537" s="281" t="s">
        <v>148</v>
      </c>
      <c r="E1537" s="272" t="s">
        <v>1268</v>
      </c>
      <c r="F1537" s="155" t="str">
        <f>_xlfn.XLOOKUP(B1537,STUDIES!$A$3:$A$1063,STUDIES!$G$3:$G$1063,"Not Found!")</f>
        <v>A</v>
      </c>
      <c r="G1537" s="273" t="s">
        <v>147</v>
      </c>
      <c r="H1537" s="273">
        <v>16</v>
      </c>
      <c r="I1537" s="273">
        <v>61</v>
      </c>
      <c r="J1537" s="274">
        <v>1</v>
      </c>
    </row>
    <row r="1538" spans="1:10" ht="18" customHeight="1" x14ac:dyDescent="0.35">
      <c r="A1538" s="274">
        <f>MATCH(B1538,STUDIES!$A$3:$A$502,0)</f>
        <v>47</v>
      </c>
      <c r="B1538" s="272" t="s">
        <v>360</v>
      </c>
      <c r="D1538" s="281" t="s">
        <v>148</v>
      </c>
      <c r="E1538" s="272" t="s">
        <v>1258</v>
      </c>
      <c r="F1538" s="155" t="str">
        <f>_xlfn.XLOOKUP(B1538,STUDIES!$A$3:$A$1063,STUDIES!$G$3:$G$1063,"Not Found!")</f>
        <v>A</v>
      </c>
      <c r="G1538" s="273" t="s">
        <v>147</v>
      </c>
      <c r="H1538" s="273">
        <v>8</v>
      </c>
      <c r="I1538" s="273">
        <v>33</v>
      </c>
      <c r="J1538" s="274">
        <v>13</v>
      </c>
    </row>
    <row r="1539" spans="1:10" ht="18" customHeight="1" x14ac:dyDescent="0.35">
      <c r="A1539" s="274">
        <f>MATCH(B1539,STUDIES!$A$3:$A$502,0)</f>
        <v>47</v>
      </c>
      <c r="B1539" s="272" t="s">
        <v>360</v>
      </c>
      <c r="D1539" s="281" t="s">
        <v>1105</v>
      </c>
      <c r="E1539" s="272" t="s">
        <v>1258</v>
      </c>
      <c r="F1539" s="155" t="str">
        <f>_xlfn.XLOOKUP(B1539,STUDIES!$A$3:$A$1063,STUDIES!$G$3:$G$1063,"Not Found!")</f>
        <v>A</v>
      </c>
      <c r="G1539" s="273" t="s">
        <v>147</v>
      </c>
      <c r="H1539" s="273">
        <v>8</v>
      </c>
      <c r="I1539" s="273">
        <v>65</v>
      </c>
      <c r="J1539" s="274">
        <v>34</v>
      </c>
    </row>
    <row r="1540" spans="1:10" ht="18" customHeight="1" x14ac:dyDescent="0.35">
      <c r="A1540" s="274">
        <f>MATCH(B1540,STUDIES!$A$3:$A$502,0)</f>
        <v>47</v>
      </c>
      <c r="B1540" s="272" t="s">
        <v>360</v>
      </c>
      <c r="D1540" s="281" t="s">
        <v>148</v>
      </c>
      <c r="E1540" s="272" t="s">
        <v>1243</v>
      </c>
      <c r="F1540" s="155" t="str">
        <f>_xlfn.XLOOKUP(B1540,STUDIES!$A$3:$A$1063,STUDIES!$G$3:$G$1063,"Not Found!")</f>
        <v>A</v>
      </c>
      <c r="G1540" s="273" t="s">
        <v>147</v>
      </c>
      <c r="H1540" s="273">
        <v>8</v>
      </c>
      <c r="I1540" s="273">
        <v>33</v>
      </c>
      <c r="J1540" s="274">
        <v>5</v>
      </c>
    </row>
    <row r="1541" spans="1:10" ht="18" customHeight="1" x14ac:dyDescent="0.35">
      <c r="A1541" s="274">
        <f>MATCH(B1541,STUDIES!$A$3:$A$502,0)</f>
        <v>47</v>
      </c>
      <c r="B1541" s="272" t="s">
        <v>360</v>
      </c>
      <c r="D1541" s="281" t="s">
        <v>1105</v>
      </c>
      <c r="E1541" s="272" t="s">
        <v>1243</v>
      </c>
      <c r="F1541" s="155" t="str">
        <f>_xlfn.XLOOKUP(B1541,STUDIES!$A$3:$A$1063,STUDIES!$G$3:$G$1063,"Not Found!")</f>
        <v>A</v>
      </c>
      <c r="G1541" s="273" t="s">
        <v>147</v>
      </c>
      <c r="H1541" s="273">
        <v>8</v>
      </c>
      <c r="I1541" s="273">
        <v>65</v>
      </c>
      <c r="J1541" s="274">
        <v>21</v>
      </c>
    </row>
    <row r="1542" spans="1:10" ht="18" customHeight="1" x14ac:dyDescent="0.35">
      <c r="A1542" s="274">
        <f>MATCH(B1542,STUDIES!$A$3:$A$502,0)</f>
        <v>47</v>
      </c>
      <c r="B1542" s="272" t="s">
        <v>360</v>
      </c>
      <c r="D1542" s="281" t="s">
        <v>148</v>
      </c>
      <c r="E1542" s="272" t="s">
        <v>1268</v>
      </c>
      <c r="F1542" s="155" t="str">
        <f>_xlfn.XLOOKUP(B1542,STUDIES!$A$3:$A$1063,STUDIES!$G$3:$G$1063,"Not Found!")</f>
        <v>A</v>
      </c>
      <c r="G1542" s="273" t="s">
        <v>147</v>
      </c>
      <c r="H1542" s="273">
        <v>8</v>
      </c>
      <c r="I1542" s="273">
        <v>33</v>
      </c>
      <c r="J1542" s="274">
        <v>3</v>
      </c>
    </row>
    <row r="1543" spans="1:10" ht="18" customHeight="1" x14ac:dyDescent="0.35">
      <c r="A1543" s="274">
        <f>MATCH(B1543,STUDIES!$A$3:$A$502,0)</f>
        <v>47</v>
      </c>
      <c r="B1543" s="272" t="s">
        <v>360</v>
      </c>
      <c r="D1543" s="281" t="s">
        <v>1105</v>
      </c>
      <c r="E1543" s="272" t="s">
        <v>1268</v>
      </c>
      <c r="F1543" s="155" t="str">
        <f>_xlfn.XLOOKUP(B1543,STUDIES!$A$3:$A$1063,STUDIES!$G$3:$G$1063,"Not Found!")</f>
        <v>A</v>
      </c>
      <c r="G1543" s="273" t="s">
        <v>147</v>
      </c>
      <c r="H1543" s="273">
        <v>8</v>
      </c>
      <c r="I1543" s="273">
        <v>65</v>
      </c>
      <c r="J1543" s="274">
        <v>12</v>
      </c>
    </row>
    <row r="1544" spans="1:10" ht="18" customHeight="1" x14ac:dyDescent="0.35">
      <c r="A1544" s="274">
        <f>MATCH(B1544,STUDIES!$A$3:$A$502,0)</f>
        <v>48</v>
      </c>
      <c r="B1544" s="272" t="s">
        <v>858</v>
      </c>
      <c r="D1544" s="281" t="s">
        <v>148</v>
      </c>
      <c r="E1544" s="272" t="s">
        <v>1258</v>
      </c>
      <c r="F1544" s="155" t="str">
        <f>_xlfn.XLOOKUP(B1544,STUDIES!$A$3:$A$1063,STUDIES!$G$3:$G$1063,"Not Found!")</f>
        <v>A</v>
      </c>
      <c r="G1544" s="273" t="s">
        <v>147</v>
      </c>
      <c r="H1544" s="273">
        <v>16</v>
      </c>
      <c r="I1544" s="273">
        <v>197</v>
      </c>
      <c r="J1544" s="274">
        <v>42</v>
      </c>
    </row>
    <row r="1545" spans="1:10" ht="18" customHeight="1" x14ac:dyDescent="0.35">
      <c r="A1545" s="274">
        <f>MATCH(B1545,STUDIES!$A$3:$A$502,0)</f>
        <v>48</v>
      </c>
      <c r="B1545" s="272" t="s">
        <v>858</v>
      </c>
      <c r="D1545" s="281" t="s">
        <v>1096</v>
      </c>
      <c r="E1545" s="272" t="s">
        <v>1258</v>
      </c>
      <c r="F1545" s="155" t="str">
        <f>_xlfn.XLOOKUP(B1545,STUDIES!$A$3:$A$1063,STUDIES!$G$3:$G$1063,"Not Found!")</f>
        <v>A</v>
      </c>
      <c r="G1545" s="273" t="s">
        <v>147</v>
      </c>
      <c r="H1545" s="273">
        <v>16</v>
      </c>
      <c r="I1545" s="273">
        <v>601</v>
      </c>
      <c r="J1545" s="274">
        <v>250</v>
      </c>
    </row>
    <row r="1546" spans="1:10" ht="18" customHeight="1" x14ac:dyDescent="0.35">
      <c r="A1546" s="274">
        <f>MATCH(B1546,STUDIES!$A$3:$A$502,0)</f>
        <v>48</v>
      </c>
      <c r="B1546" s="272" t="s">
        <v>858</v>
      </c>
      <c r="D1546" s="281" t="s">
        <v>148</v>
      </c>
      <c r="E1546" s="272" t="s">
        <v>1243</v>
      </c>
      <c r="F1546" s="155" t="str">
        <f>_xlfn.XLOOKUP(B1546,STUDIES!$A$3:$A$1063,STUDIES!$G$3:$G$1063,"Not Found!")</f>
        <v>A</v>
      </c>
      <c r="G1546" s="273" t="s">
        <v>147</v>
      </c>
      <c r="H1546" s="273">
        <v>16</v>
      </c>
      <c r="I1546" s="273">
        <v>197</v>
      </c>
      <c r="J1546" s="274">
        <v>25</v>
      </c>
    </row>
    <row r="1547" spans="1:10" ht="18" customHeight="1" x14ac:dyDescent="0.35">
      <c r="A1547" s="274">
        <f>MATCH(B1547,STUDIES!$A$3:$A$502,0)</f>
        <v>48</v>
      </c>
      <c r="B1547" s="272" t="s">
        <v>858</v>
      </c>
      <c r="D1547" s="281" t="s">
        <v>1096</v>
      </c>
      <c r="E1547" s="272" t="s">
        <v>1243</v>
      </c>
      <c r="F1547" s="155" t="str">
        <f>_xlfn.XLOOKUP(B1547,STUDIES!$A$3:$A$1063,STUDIES!$G$3:$G$1063,"Not Found!")</f>
        <v>A</v>
      </c>
      <c r="G1547" s="273" t="s">
        <v>147</v>
      </c>
      <c r="H1547" s="273">
        <v>16</v>
      </c>
      <c r="I1547" s="273">
        <v>601</v>
      </c>
      <c r="J1547" s="274">
        <v>150</v>
      </c>
    </row>
    <row r="1548" spans="1:10" ht="18" customHeight="1" x14ac:dyDescent="0.35">
      <c r="A1548" s="274">
        <f>MATCH(B1548,STUDIES!$A$3:$A$502,0)</f>
        <v>48</v>
      </c>
      <c r="B1548" s="272" t="s">
        <v>858</v>
      </c>
      <c r="D1548" s="281" t="s">
        <v>148</v>
      </c>
      <c r="E1548" s="272" t="s">
        <v>1244</v>
      </c>
      <c r="F1548" s="155" t="str">
        <f>_xlfn.XLOOKUP(B1548,STUDIES!$A$3:$A$1063,STUDIES!$G$3:$G$1063,"Not Found!")</f>
        <v>A</v>
      </c>
      <c r="G1548" s="273" t="s">
        <v>147</v>
      </c>
      <c r="H1548" s="273">
        <v>16</v>
      </c>
      <c r="I1548" s="273">
        <v>197</v>
      </c>
      <c r="J1548" s="274">
        <v>8</v>
      </c>
    </row>
    <row r="1549" spans="1:10" ht="18" customHeight="1" x14ac:dyDescent="0.35">
      <c r="A1549" s="274">
        <f>MATCH(B1549,STUDIES!$A$3:$A$502,0)</f>
        <v>48</v>
      </c>
      <c r="B1549" s="272" t="s">
        <v>858</v>
      </c>
      <c r="D1549" s="281" t="s">
        <v>1096</v>
      </c>
      <c r="E1549" s="272" t="s">
        <v>1244</v>
      </c>
      <c r="F1549" s="155" t="str">
        <f>_xlfn.XLOOKUP(B1549,STUDIES!$A$3:$A$1063,STUDIES!$G$3:$G$1063,"Not Found!")</f>
        <v>A</v>
      </c>
      <c r="G1549" s="273" t="s">
        <v>147</v>
      </c>
      <c r="H1549" s="273">
        <v>16</v>
      </c>
      <c r="I1549" s="273">
        <v>601</v>
      </c>
      <c r="J1549" s="274">
        <v>87</v>
      </c>
    </row>
    <row r="1550" spans="1:10" ht="18" customHeight="1" x14ac:dyDescent="0.35">
      <c r="A1550" s="274">
        <f>MATCH(B1550,STUDIES!$A$3:$A$502,0)</f>
        <v>48</v>
      </c>
      <c r="B1550" s="272" t="s">
        <v>858</v>
      </c>
      <c r="D1550" s="281" t="s">
        <v>148</v>
      </c>
      <c r="E1550" s="272" t="s">
        <v>1268</v>
      </c>
      <c r="F1550" s="155" t="str">
        <f>_xlfn.XLOOKUP(B1550,STUDIES!$A$3:$A$1063,STUDIES!$G$3:$G$1063,"Not Found!")</f>
        <v>A</v>
      </c>
      <c r="G1550" s="273" t="s">
        <v>147</v>
      </c>
      <c r="H1550" s="273">
        <v>16</v>
      </c>
      <c r="I1550" s="273">
        <v>197</v>
      </c>
      <c r="J1550" s="274">
        <v>14</v>
      </c>
    </row>
    <row r="1551" spans="1:10" ht="18" customHeight="1" x14ac:dyDescent="0.35">
      <c r="A1551" s="274">
        <f>MATCH(B1551,STUDIES!$A$3:$A$502,0)</f>
        <v>48</v>
      </c>
      <c r="B1551" s="272" t="s">
        <v>858</v>
      </c>
      <c r="D1551" s="281" t="s">
        <v>1096</v>
      </c>
      <c r="E1551" s="272" t="s">
        <v>1268</v>
      </c>
      <c r="F1551" s="155" t="str">
        <f>_xlfn.XLOOKUP(B1551,STUDIES!$A$3:$A$1063,STUDIES!$G$3:$G$1063,"Not Found!")</f>
        <v>A</v>
      </c>
      <c r="G1551" s="273" t="s">
        <v>147</v>
      </c>
      <c r="H1551" s="273">
        <v>16</v>
      </c>
      <c r="I1551" s="273">
        <v>601</v>
      </c>
      <c r="J1551" s="274">
        <v>95</v>
      </c>
    </row>
    <row r="1552" spans="1:10" ht="18" customHeight="1" x14ac:dyDescent="0.35">
      <c r="A1552" s="274">
        <f>MATCH(B1552,STUDIES!$A$3:$A$502,0)</f>
        <v>49</v>
      </c>
      <c r="B1552" s="272" t="s">
        <v>862</v>
      </c>
      <c r="D1552" s="281" t="s">
        <v>148</v>
      </c>
      <c r="E1552" s="272" t="s">
        <v>1258</v>
      </c>
      <c r="F1552" s="155" t="str">
        <f>_xlfn.XLOOKUP(B1552,STUDIES!$A$3:$A$1063,STUDIES!$G$3:$G$1063,"Not Found!")</f>
        <v>A</v>
      </c>
      <c r="G1552" s="273" t="s">
        <v>147</v>
      </c>
      <c r="H1552" s="273">
        <v>16</v>
      </c>
      <c r="I1552" s="273">
        <v>201</v>
      </c>
      <c r="J1552" s="274">
        <v>41</v>
      </c>
    </row>
    <row r="1553" spans="1:10" ht="18" customHeight="1" x14ac:dyDescent="0.35">
      <c r="A1553" s="274">
        <f>MATCH(B1553,STUDIES!$A$3:$A$502,0)</f>
        <v>49</v>
      </c>
      <c r="B1553" s="272" t="s">
        <v>862</v>
      </c>
      <c r="D1553" s="281" t="s">
        <v>1096</v>
      </c>
      <c r="E1553" s="272" t="s">
        <v>1258</v>
      </c>
      <c r="F1553" s="155" t="str">
        <f>_xlfn.XLOOKUP(B1553,STUDIES!$A$3:$A$1063,STUDIES!$G$3:$G$1063,"Not Found!")</f>
        <v>A</v>
      </c>
      <c r="G1553" s="273" t="s">
        <v>147</v>
      </c>
      <c r="H1553" s="273">
        <v>16</v>
      </c>
      <c r="I1553" s="273">
        <v>591</v>
      </c>
      <c r="J1553" s="274">
        <v>295</v>
      </c>
    </row>
    <row r="1554" spans="1:10" ht="18" customHeight="1" x14ac:dyDescent="0.35">
      <c r="A1554" s="274">
        <f>MATCH(B1554,STUDIES!$A$3:$A$502,0)</f>
        <v>49</v>
      </c>
      <c r="B1554" s="272" t="s">
        <v>862</v>
      </c>
      <c r="D1554" s="281" t="s">
        <v>148</v>
      </c>
      <c r="E1554" s="272" t="s">
        <v>1243</v>
      </c>
      <c r="F1554" s="155" t="str">
        <f>_xlfn.XLOOKUP(B1554,STUDIES!$A$3:$A$1063,STUDIES!$G$3:$G$1063,"Not Found!")</f>
        <v>A</v>
      </c>
      <c r="G1554" s="273" t="s">
        <v>147</v>
      </c>
      <c r="H1554" s="273">
        <v>16</v>
      </c>
      <c r="I1554" s="273">
        <v>201</v>
      </c>
      <c r="J1554" s="274">
        <v>23</v>
      </c>
    </row>
    <row r="1555" spans="1:10" ht="18" customHeight="1" x14ac:dyDescent="0.35">
      <c r="A1555" s="274">
        <f>MATCH(B1555,STUDIES!$A$3:$A$502,0)</f>
        <v>49</v>
      </c>
      <c r="B1555" s="272" t="s">
        <v>862</v>
      </c>
      <c r="D1555" s="281" t="s">
        <v>1096</v>
      </c>
      <c r="E1555" s="272" t="s">
        <v>1243</v>
      </c>
      <c r="F1555" s="155" t="str">
        <f>_xlfn.XLOOKUP(B1555,STUDIES!$A$3:$A$1063,STUDIES!$G$3:$G$1063,"Not Found!")</f>
        <v>A</v>
      </c>
      <c r="G1555" s="273" t="s">
        <v>147</v>
      </c>
      <c r="H1555" s="273">
        <v>16</v>
      </c>
      <c r="I1555" s="273">
        <v>591</v>
      </c>
      <c r="J1555" s="274">
        <v>196</v>
      </c>
    </row>
    <row r="1556" spans="1:10" ht="18" customHeight="1" x14ac:dyDescent="0.35">
      <c r="A1556" s="274">
        <f>MATCH(B1556,STUDIES!$A$3:$A$502,0)</f>
        <v>49</v>
      </c>
      <c r="B1556" s="272" t="s">
        <v>862</v>
      </c>
      <c r="D1556" s="281" t="s">
        <v>148</v>
      </c>
      <c r="E1556" s="272" t="s">
        <v>1244</v>
      </c>
      <c r="F1556" s="155" t="str">
        <f>_xlfn.XLOOKUP(B1556,STUDIES!$A$3:$A$1063,STUDIES!$G$3:$G$1063,"Not Found!")</f>
        <v>A</v>
      </c>
      <c r="G1556" s="273" t="s">
        <v>147</v>
      </c>
      <c r="H1556" s="273">
        <v>16</v>
      </c>
      <c r="I1556" s="273">
        <v>201</v>
      </c>
      <c r="J1556" s="274">
        <v>11</v>
      </c>
    </row>
    <row r="1557" spans="1:10" ht="18" customHeight="1" x14ac:dyDescent="0.35">
      <c r="A1557" s="274">
        <f>MATCH(B1557,STUDIES!$A$3:$A$502,0)</f>
        <v>49</v>
      </c>
      <c r="B1557" s="272" t="s">
        <v>862</v>
      </c>
      <c r="D1557" s="281" t="s">
        <v>1096</v>
      </c>
      <c r="E1557" s="272" t="s">
        <v>1244</v>
      </c>
      <c r="F1557" s="155" t="str">
        <f>_xlfn.XLOOKUP(B1557,STUDIES!$A$3:$A$1063,STUDIES!$G$3:$G$1063,"Not Found!")</f>
        <v>A</v>
      </c>
      <c r="G1557" s="273" t="s">
        <v>147</v>
      </c>
      <c r="H1557" s="273">
        <v>16</v>
      </c>
      <c r="I1557" s="273">
        <v>591</v>
      </c>
      <c r="J1557" s="274">
        <v>108</v>
      </c>
    </row>
    <row r="1558" spans="1:10" ht="18" customHeight="1" x14ac:dyDescent="0.35">
      <c r="A1558" s="274">
        <f>MATCH(B1558,STUDIES!$A$3:$A$502,0)</f>
        <v>49</v>
      </c>
      <c r="B1558" s="272" t="s">
        <v>862</v>
      </c>
      <c r="D1558" s="281" t="s">
        <v>148</v>
      </c>
      <c r="E1558" s="272" t="s">
        <v>1268</v>
      </c>
      <c r="F1558" s="155" t="str">
        <f>_xlfn.XLOOKUP(B1558,STUDIES!$A$3:$A$1063,STUDIES!$G$3:$G$1063,"Not Found!")</f>
        <v>A</v>
      </c>
      <c r="G1558" s="273" t="s">
        <v>147</v>
      </c>
      <c r="H1558" s="273">
        <v>16</v>
      </c>
      <c r="I1558" s="273">
        <v>201</v>
      </c>
      <c r="J1558" s="274">
        <v>22</v>
      </c>
    </row>
    <row r="1559" spans="1:10" ht="18" customHeight="1" x14ac:dyDescent="0.35">
      <c r="A1559" s="274">
        <f>MATCH(B1559,STUDIES!$A$3:$A$502,0)</f>
        <v>49</v>
      </c>
      <c r="B1559" s="272" t="s">
        <v>862</v>
      </c>
      <c r="D1559" s="281" t="s">
        <v>1096</v>
      </c>
      <c r="E1559" s="272" t="s">
        <v>1268</v>
      </c>
      <c r="F1559" s="155" t="str">
        <f>_xlfn.XLOOKUP(B1559,STUDIES!$A$3:$A$1063,STUDIES!$G$3:$G$1063,"Not Found!")</f>
        <v>A</v>
      </c>
      <c r="G1559" s="273" t="s">
        <v>147</v>
      </c>
      <c r="H1559" s="273">
        <v>16</v>
      </c>
      <c r="I1559" s="273">
        <v>591</v>
      </c>
      <c r="J1559" s="274">
        <v>131</v>
      </c>
    </row>
    <row r="1560" spans="1:10" ht="18" customHeight="1" x14ac:dyDescent="0.35">
      <c r="A1560" s="274">
        <f>MATCH(B1560,STUDIES!$A$3:$A$502,0)</f>
        <v>50</v>
      </c>
      <c r="B1560" s="272" t="s">
        <v>359</v>
      </c>
      <c r="D1560" s="281" t="s">
        <v>148</v>
      </c>
      <c r="E1560" s="272" t="s">
        <v>1258</v>
      </c>
      <c r="F1560" s="155" t="str">
        <f>_xlfn.XLOOKUP(B1560,STUDIES!$A$3:$A$1063,STUDIES!$G$3:$G$1063,"Not Found!")</f>
        <v>A</v>
      </c>
      <c r="G1560" s="273" t="s">
        <v>147</v>
      </c>
      <c r="H1560" s="273">
        <v>12</v>
      </c>
      <c r="I1560" s="273">
        <v>51</v>
      </c>
      <c r="J1560" s="274">
        <v>26</v>
      </c>
    </row>
    <row r="1561" spans="1:10" ht="18" customHeight="1" x14ac:dyDescent="0.35">
      <c r="A1561" s="274">
        <f>MATCH(B1561,STUDIES!$A$3:$A$502,0)</f>
        <v>50</v>
      </c>
      <c r="B1561" s="272" t="s">
        <v>359</v>
      </c>
      <c r="D1561" s="281" t="s">
        <v>1094</v>
      </c>
      <c r="E1561" s="272" t="s">
        <v>1258</v>
      </c>
      <c r="F1561" s="155" t="str">
        <f>_xlfn.XLOOKUP(B1561,STUDIES!$A$3:$A$1063,STUDIES!$G$3:$G$1063,"Not Found!")</f>
        <v>A</v>
      </c>
      <c r="G1561" s="273" t="s">
        <v>147</v>
      </c>
      <c r="H1561" s="273">
        <v>12</v>
      </c>
      <c r="I1561" s="273">
        <v>51</v>
      </c>
      <c r="J1561" s="274">
        <v>34</v>
      </c>
    </row>
    <row r="1562" spans="1:10" ht="18" customHeight="1" x14ac:dyDescent="0.35">
      <c r="A1562" s="274">
        <f>MATCH(B1562,STUDIES!$A$3:$A$502,0)</f>
        <v>50</v>
      </c>
      <c r="B1562" s="272" t="s">
        <v>359</v>
      </c>
      <c r="D1562" s="281" t="s">
        <v>1095</v>
      </c>
      <c r="E1562" s="272" t="s">
        <v>1258</v>
      </c>
      <c r="F1562" s="155" t="str">
        <f>_xlfn.XLOOKUP(B1562,STUDIES!$A$3:$A$1063,STUDIES!$G$3:$G$1063,"Not Found!")</f>
        <v>A</v>
      </c>
      <c r="G1562" s="273" t="s">
        <v>147</v>
      </c>
      <c r="H1562" s="273">
        <v>12</v>
      </c>
      <c r="I1562" s="273">
        <v>52</v>
      </c>
      <c r="J1562" s="274">
        <v>38</v>
      </c>
    </row>
    <row r="1563" spans="1:10" ht="18" customHeight="1" x14ac:dyDescent="0.35">
      <c r="A1563" s="274">
        <f>MATCH(B1563,STUDIES!$A$3:$A$502,0)</f>
        <v>50</v>
      </c>
      <c r="B1563" s="272" t="s">
        <v>359</v>
      </c>
      <c r="D1563" s="281" t="s">
        <v>1097</v>
      </c>
      <c r="E1563" s="272" t="s">
        <v>1258</v>
      </c>
      <c r="F1563" s="155" t="str">
        <f>_xlfn.XLOOKUP(B1563,STUDIES!$A$3:$A$1063,STUDIES!$G$3:$G$1063,"Not Found!")</f>
        <v>A</v>
      </c>
      <c r="G1563" s="273" t="s">
        <v>147</v>
      </c>
      <c r="H1563" s="273">
        <v>12</v>
      </c>
      <c r="I1563" s="273">
        <v>50</v>
      </c>
      <c r="J1563" s="274">
        <v>27</v>
      </c>
    </row>
    <row r="1564" spans="1:10" ht="18" customHeight="1" x14ac:dyDescent="0.35">
      <c r="A1564" s="274">
        <f>MATCH(B1564,STUDIES!$A$3:$A$502,0)</f>
        <v>50</v>
      </c>
      <c r="B1564" s="272" t="s">
        <v>359</v>
      </c>
      <c r="D1564" s="281" t="s">
        <v>148</v>
      </c>
      <c r="E1564" s="272" t="s">
        <v>1268</v>
      </c>
      <c r="F1564" s="155" t="str">
        <f>_xlfn.XLOOKUP(B1564,STUDIES!$A$3:$A$1063,STUDIES!$G$3:$G$1063,"Not Found!")</f>
        <v>A</v>
      </c>
      <c r="G1564" s="273" t="s">
        <v>147</v>
      </c>
      <c r="H1564" s="273">
        <v>12</v>
      </c>
      <c r="I1564" s="273">
        <v>51</v>
      </c>
      <c r="J1564" s="274">
        <v>6</v>
      </c>
    </row>
    <row r="1565" spans="1:10" ht="18" customHeight="1" x14ac:dyDescent="0.35">
      <c r="A1565" s="274">
        <f>MATCH(B1565,STUDIES!$A$3:$A$502,0)</f>
        <v>50</v>
      </c>
      <c r="B1565" s="272" t="s">
        <v>359</v>
      </c>
      <c r="D1565" s="281" t="s">
        <v>1094</v>
      </c>
      <c r="E1565" s="272" t="s">
        <v>1268</v>
      </c>
      <c r="F1565" s="155" t="str">
        <f>_xlfn.XLOOKUP(B1565,STUDIES!$A$3:$A$1063,STUDIES!$G$3:$G$1063,"Not Found!")</f>
        <v>A</v>
      </c>
      <c r="G1565" s="273" t="s">
        <v>147</v>
      </c>
      <c r="H1565" s="273">
        <v>12</v>
      </c>
      <c r="I1565" s="273">
        <v>51</v>
      </c>
      <c r="J1565" s="274">
        <v>10</v>
      </c>
    </row>
    <row r="1566" spans="1:10" ht="18" customHeight="1" x14ac:dyDescent="0.35">
      <c r="A1566" s="274">
        <f>MATCH(B1566,STUDIES!$A$3:$A$502,0)</f>
        <v>50</v>
      </c>
      <c r="B1566" s="272" t="s">
        <v>359</v>
      </c>
      <c r="D1566" s="281" t="s">
        <v>1095</v>
      </c>
      <c r="E1566" s="272" t="s">
        <v>1268</v>
      </c>
      <c r="F1566" s="155" t="str">
        <f>_xlfn.XLOOKUP(B1566,STUDIES!$A$3:$A$1063,STUDIES!$G$3:$G$1063,"Not Found!")</f>
        <v>A</v>
      </c>
      <c r="G1566" s="273" t="s">
        <v>147</v>
      </c>
      <c r="H1566" s="273">
        <v>12</v>
      </c>
      <c r="I1566" s="273">
        <v>52</v>
      </c>
      <c r="J1566" s="274">
        <v>13</v>
      </c>
    </row>
    <row r="1567" spans="1:10" ht="18" customHeight="1" x14ac:dyDescent="0.35">
      <c r="A1567" s="274">
        <f>MATCH(B1567,STUDIES!$A$3:$A$502,0)</f>
        <v>50</v>
      </c>
      <c r="B1567" s="272" t="s">
        <v>359</v>
      </c>
      <c r="D1567" s="281" t="s">
        <v>1097</v>
      </c>
      <c r="E1567" s="272" t="s">
        <v>1268</v>
      </c>
      <c r="F1567" s="155" t="str">
        <f>_xlfn.XLOOKUP(B1567,STUDIES!$A$3:$A$1063,STUDIES!$G$3:$G$1063,"Not Found!")</f>
        <v>A</v>
      </c>
      <c r="G1567" s="273" t="s">
        <v>147</v>
      </c>
      <c r="H1567" s="273">
        <v>12</v>
      </c>
      <c r="I1567" s="273">
        <v>50</v>
      </c>
      <c r="J1567" s="274">
        <v>6</v>
      </c>
    </row>
    <row r="1568" spans="1:10" ht="18" customHeight="1" x14ac:dyDescent="0.35">
      <c r="A1568" s="274">
        <f>MATCH(B1568,STUDIES!$A$3:$A$502,0)</f>
        <v>51</v>
      </c>
      <c r="B1568" s="272" t="s">
        <v>1112</v>
      </c>
      <c r="D1568" s="281" t="s">
        <v>148</v>
      </c>
      <c r="E1568" s="272" t="s">
        <v>1258</v>
      </c>
      <c r="F1568" s="155" t="str">
        <f>_xlfn.XLOOKUP(B1568,STUDIES!$A$3:$A$1063,STUDIES!$G$3:$G$1063,"Not Found!")</f>
        <v>A</v>
      </c>
      <c r="G1568" s="273" t="s">
        <v>147</v>
      </c>
      <c r="H1568" s="273">
        <v>16</v>
      </c>
      <c r="I1568" s="273">
        <v>147</v>
      </c>
      <c r="J1568" s="274">
        <v>19</v>
      </c>
    </row>
    <row r="1569" spans="1:10" ht="18" customHeight="1" x14ac:dyDescent="0.35">
      <c r="A1569" s="274">
        <f>MATCH(B1569,STUDIES!$A$3:$A$502,0)</f>
        <v>51</v>
      </c>
      <c r="B1569" s="272" t="s">
        <v>1112</v>
      </c>
      <c r="D1569" s="281" t="s">
        <v>1042</v>
      </c>
      <c r="E1569" s="272" t="s">
        <v>1258</v>
      </c>
      <c r="F1569" s="155" t="str">
        <f>_xlfn.XLOOKUP(B1569,STUDIES!$A$3:$A$1063,STUDIES!$G$3:$G$1063,"Not Found!")</f>
        <v>A</v>
      </c>
      <c r="G1569" s="273" t="s">
        <v>147</v>
      </c>
      <c r="H1569" s="273">
        <v>16</v>
      </c>
      <c r="I1569" s="273">
        <v>147</v>
      </c>
      <c r="J1569" s="274">
        <v>29</v>
      </c>
    </row>
    <row r="1570" spans="1:10" ht="18" customHeight="1" x14ac:dyDescent="0.35">
      <c r="A1570" s="274">
        <f>MATCH(B1570,STUDIES!$A$3:$A$502,0)</f>
        <v>51</v>
      </c>
      <c r="B1570" s="272" t="s">
        <v>1112</v>
      </c>
      <c r="D1570" s="281" t="s">
        <v>1043</v>
      </c>
      <c r="E1570" s="272" t="s">
        <v>1258</v>
      </c>
      <c r="F1570" s="155" t="str">
        <f>_xlfn.XLOOKUP(B1570,STUDIES!$A$3:$A$1063,STUDIES!$G$3:$G$1063,"Not Found!")</f>
        <v>A</v>
      </c>
      <c r="G1570" s="273" t="s">
        <v>147</v>
      </c>
      <c r="H1570" s="273">
        <v>16</v>
      </c>
      <c r="I1570" s="273">
        <v>146</v>
      </c>
      <c r="J1570" s="274">
        <v>51</v>
      </c>
    </row>
    <row r="1571" spans="1:10" ht="18" customHeight="1" x14ac:dyDescent="0.35">
      <c r="A1571" s="274">
        <f>MATCH(B1571,STUDIES!$A$3:$A$502,0)</f>
        <v>51</v>
      </c>
      <c r="B1571" s="272" t="s">
        <v>1112</v>
      </c>
      <c r="D1571" s="281" t="s">
        <v>148</v>
      </c>
      <c r="E1571" s="272" t="s">
        <v>1243</v>
      </c>
      <c r="F1571" s="155" t="str">
        <f>_xlfn.XLOOKUP(B1571,STUDIES!$A$3:$A$1063,STUDIES!$G$3:$G$1063,"Not Found!")</f>
        <v>A</v>
      </c>
      <c r="G1571" s="273" t="s">
        <v>147</v>
      </c>
      <c r="H1571" s="273">
        <v>16</v>
      </c>
      <c r="I1571" s="273">
        <v>147</v>
      </c>
      <c r="J1571" s="274">
        <v>12</v>
      </c>
    </row>
    <row r="1572" spans="1:10" ht="18" customHeight="1" x14ac:dyDescent="0.35">
      <c r="A1572" s="274">
        <f>MATCH(B1572,STUDIES!$A$3:$A$502,0)</f>
        <v>51</v>
      </c>
      <c r="B1572" s="272" t="s">
        <v>1112</v>
      </c>
      <c r="D1572" s="281" t="s">
        <v>1042</v>
      </c>
      <c r="E1572" s="272" t="s">
        <v>1243</v>
      </c>
      <c r="F1572" s="155" t="str">
        <f>_xlfn.XLOOKUP(B1572,STUDIES!$A$3:$A$1063,STUDIES!$G$3:$G$1063,"Not Found!")</f>
        <v>A</v>
      </c>
      <c r="G1572" s="273" t="s">
        <v>147</v>
      </c>
      <c r="H1572" s="273">
        <v>16</v>
      </c>
      <c r="I1572" s="273">
        <v>147</v>
      </c>
      <c r="J1572" s="274">
        <v>19</v>
      </c>
    </row>
    <row r="1573" spans="1:10" ht="18" customHeight="1" x14ac:dyDescent="0.35">
      <c r="A1573" s="274">
        <f>MATCH(B1573,STUDIES!$A$3:$A$502,0)</f>
        <v>51</v>
      </c>
      <c r="B1573" s="272" t="s">
        <v>1112</v>
      </c>
      <c r="D1573" s="281" t="s">
        <v>1043</v>
      </c>
      <c r="E1573" s="272" t="s">
        <v>1243</v>
      </c>
      <c r="F1573" s="155" t="str">
        <f>_xlfn.XLOOKUP(B1573,STUDIES!$A$3:$A$1063,STUDIES!$G$3:$G$1063,"Not Found!")</f>
        <v>A</v>
      </c>
      <c r="G1573" s="273" t="s">
        <v>147</v>
      </c>
      <c r="H1573" s="273">
        <v>16</v>
      </c>
      <c r="I1573" s="273">
        <v>146</v>
      </c>
      <c r="J1573" s="274">
        <v>43</v>
      </c>
    </row>
    <row r="1574" spans="1:10" ht="18" customHeight="1" x14ac:dyDescent="0.35">
      <c r="A1574" s="274">
        <f>MATCH(B1574,STUDIES!$A$3:$A$502,0)</f>
        <v>51</v>
      </c>
      <c r="B1574" s="272" t="s">
        <v>1112</v>
      </c>
      <c r="D1574" s="281" t="s">
        <v>148</v>
      </c>
      <c r="E1574" s="272" t="s">
        <v>1244</v>
      </c>
      <c r="F1574" s="155" t="str">
        <f>_xlfn.XLOOKUP(B1574,STUDIES!$A$3:$A$1063,STUDIES!$G$3:$G$1063,"Not Found!")</f>
        <v>A</v>
      </c>
      <c r="G1574" s="273" t="s">
        <v>147</v>
      </c>
      <c r="H1574" s="273">
        <v>16</v>
      </c>
      <c r="I1574" s="273">
        <v>147</v>
      </c>
      <c r="J1574" s="274">
        <v>5</v>
      </c>
    </row>
    <row r="1575" spans="1:10" ht="18" customHeight="1" x14ac:dyDescent="0.35">
      <c r="A1575" s="274">
        <f>MATCH(B1575,STUDIES!$A$3:$A$502,0)</f>
        <v>51</v>
      </c>
      <c r="B1575" s="272" t="s">
        <v>1112</v>
      </c>
      <c r="D1575" s="281" t="s">
        <v>1042</v>
      </c>
      <c r="E1575" s="272" t="s">
        <v>1244</v>
      </c>
      <c r="F1575" s="155" t="str">
        <f>_xlfn.XLOOKUP(B1575,STUDIES!$A$3:$A$1063,STUDIES!$G$3:$G$1063,"Not Found!")</f>
        <v>A</v>
      </c>
      <c r="G1575" s="273" t="s">
        <v>147</v>
      </c>
      <c r="H1575" s="273">
        <v>16</v>
      </c>
      <c r="I1575" s="273">
        <v>147</v>
      </c>
      <c r="J1575" s="274">
        <v>11</v>
      </c>
    </row>
    <row r="1576" spans="1:10" ht="18" customHeight="1" x14ac:dyDescent="0.35">
      <c r="A1576" s="274">
        <f>MATCH(B1576,STUDIES!$A$3:$A$502,0)</f>
        <v>51</v>
      </c>
      <c r="B1576" s="272" t="s">
        <v>1112</v>
      </c>
      <c r="D1576" s="281" t="s">
        <v>1043</v>
      </c>
      <c r="E1576" s="272" t="s">
        <v>1244</v>
      </c>
      <c r="F1576" s="155" t="str">
        <f>_xlfn.XLOOKUP(B1576,STUDIES!$A$3:$A$1063,STUDIES!$G$3:$G$1063,"Not Found!")</f>
        <v>A</v>
      </c>
      <c r="G1576" s="273" t="s">
        <v>147</v>
      </c>
      <c r="H1576" s="273">
        <v>16</v>
      </c>
      <c r="I1576" s="273">
        <v>146</v>
      </c>
      <c r="J1576" s="274">
        <v>30</v>
      </c>
    </row>
    <row r="1577" spans="1:10" ht="18" customHeight="1" x14ac:dyDescent="0.35">
      <c r="A1577" s="274">
        <f>MATCH(B1577,STUDIES!$A$3:$A$502,0)</f>
        <v>51</v>
      </c>
      <c r="B1577" s="272" t="s">
        <v>1112</v>
      </c>
      <c r="D1577" s="281" t="s">
        <v>148</v>
      </c>
      <c r="E1577" s="272" t="s">
        <v>1268</v>
      </c>
      <c r="F1577" s="155" t="str">
        <f>_xlfn.XLOOKUP(B1577,STUDIES!$A$3:$A$1063,STUDIES!$G$3:$G$1063,"Not Found!")</f>
        <v>A</v>
      </c>
      <c r="G1577" s="273" t="s">
        <v>147</v>
      </c>
      <c r="H1577" s="273">
        <v>16</v>
      </c>
      <c r="I1577" s="273">
        <v>147</v>
      </c>
      <c r="J1577" s="274">
        <v>8</v>
      </c>
    </row>
    <row r="1578" spans="1:10" ht="18" customHeight="1" x14ac:dyDescent="0.35">
      <c r="A1578" s="274">
        <f>MATCH(B1578,STUDIES!$A$3:$A$502,0)</f>
        <v>51</v>
      </c>
      <c r="B1578" s="272" t="s">
        <v>1112</v>
      </c>
      <c r="D1578" s="281" t="s">
        <v>1042</v>
      </c>
      <c r="E1578" s="272" t="s">
        <v>1268</v>
      </c>
      <c r="F1578" s="155" t="str">
        <f>_xlfn.XLOOKUP(B1578,STUDIES!$A$3:$A$1063,STUDIES!$G$3:$G$1063,"Not Found!")</f>
        <v>A</v>
      </c>
      <c r="G1578" s="273" t="s">
        <v>147</v>
      </c>
      <c r="H1578" s="273">
        <v>16</v>
      </c>
      <c r="I1578" s="273">
        <v>147</v>
      </c>
      <c r="J1578" s="274">
        <v>19</v>
      </c>
    </row>
    <row r="1579" spans="1:10" ht="18" customHeight="1" x14ac:dyDescent="0.35">
      <c r="A1579" s="274">
        <f>MATCH(B1579,STUDIES!$A$3:$A$502,0)</f>
        <v>51</v>
      </c>
      <c r="B1579" s="272" t="s">
        <v>1112</v>
      </c>
      <c r="D1579" s="281" t="s">
        <v>1043</v>
      </c>
      <c r="E1579" s="272" t="s">
        <v>1268</v>
      </c>
      <c r="F1579" s="155" t="str">
        <f>_xlfn.XLOOKUP(B1579,STUDIES!$A$3:$A$1063,STUDIES!$G$3:$G$1063,"Not Found!")</f>
        <v>A</v>
      </c>
      <c r="G1579" s="273" t="s">
        <v>147</v>
      </c>
      <c r="H1579" s="273">
        <v>16</v>
      </c>
      <c r="I1579" s="273">
        <v>146</v>
      </c>
      <c r="J1579" s="274">
        <v>35</v>
      </c>
    </row>
    <row r="1580" spans="1:10" ht="18" customHeight="1" x14ac:dyDescent="0.35">
      <c r="A1580" s="274">
        <f>MATCH(B1580,STUDIES!$A$3:$A$502,0)</f>
        <v>52</v>
      </c>
      <c r="B1580" s="272" t="s">
        <v>1406</v>
      </c>
      <c r="D1580" s="281" t="s">
        <v>148</v>
      </c>
      <c r="E1580" s="272" t="s">
        <v>1258</v>
      </c>
      <c r="F1580" s="155" t="str">
        <f>_xlfn.XLOOKUP(B1580,STUDIES!$A$3:$A$1063,STUDIES!$G$3:$G$1063,"Not Found!")</f>
        <v>A</v>
      </c>
      <c r="G1580" s="273" t="s">
        <v>147</v>
      </c>
      <c r="H1580" s="273">
        <v>16</v>
      </c>
      <c r="I1580" s="273">
        <v>93</v>
      </c>
      <c r="J1580" s="274">
        <v>33</v>
      </c>
    </row>
    <row r="1581" spans="1:10" ht="18" customHeight="1" x14ac:dyDescent="0.35">
      <c r="A1581" s="274">
        <f>MATCH(B1581,STUDIES!$A$3:$A$502,0)</f>
        <v>52</v>
      </c>
      <c r="B1581" s="272" t="s">
        <v>1406</v>
      </c>
      <c r="D1581" s="281" t="s">
        <v>1042</v>
      </c>
      <c r="E1581" s="272" t="s">
        <v>1258</v>
      </c>
      <c r="F1581" s="155" t="str">
        <f>_xlfn.XLOOKUP(B1581,STUDIES!$A$3:$A$1063,STUDIES!$G$3:$G$1063,"Not Found!")</f>
        <v>A</v>
      </c>
      <c r="G1581" s="273" t="s">
        <v>147</v>
      </c>
      <c r="H1581" s="273">
        <v>16</v>
      </c>
      <c r="I1581" s="273">
        <v>93</v>
      </c>
      <c r="J1581" s="274">
        <v>42</v>
      </c>
    </row>
    <row r="1582" spans="1:10" ht="18" customHeight="1" x14ac:dyDescent="0.35">
      <c r="A1582" s="274">
        <f>MATCH(B1582,STUDIES!$A$3:$A$502,0)</f>
        <v>52</v>
      </c>
      <c r="B1582" s="272" t="s">
        <v>1406</v>
      </c>
      <c r="D1582" s="281" t="s">
        <v>1043</v>
      </c>
      <c r="E1582" s="272" t="s">
        <v>1258</v>
      </c>
      <c r="F1582" s="155" t="str">
        <f>_xlfn.XLOOKUP(B1582,STUDIES!$A$3:$A$1063,STUDIES!$G$3:$G$1063,"Not Found!")</f>
        <v>A</v>
      </c>
      <c r="G1582" s="273" t="s">
        <v>147</v>
      </c>
      <c r="H1582" s="273">
        <v>16</v>
      </c>
      <c r="I1582" s="273">
        <v>185</v>
      </c>
      <c r="J1582" s="274">
        <v>95</v>
      </c>
    </row>
    <row r="1583" spans="1:10" ht="18" customHeight="1" x14ac:dyDescent="0.35">
      <c r="A1583" s="274">
        <f>MATCH(B1583,STUDIES!$A$3:$A$502,0)</f>
        <v>52</v>
      </c>
      <c r="B1583" s="272" t="s">
        <v>1406</v>
      </c>
      <c r="D1583" s="281" t="s">
        <v>1044</v>
      </c>
      <c r="E1583" s="272" t="s">
        <v>1258</v>
      </c>
      <c r="F1583" s="155" t="str">
        <f>_xlfn.XLOOKUP(B1583,STUDIES!$A$3:$A$1063,STUDIES!$G$3:$G$1063,"Not Found!")</f>
        <v>A</v>
      </c>
      <c r="G1583" s="273" t="s">
        <v>147</v>
      </c>
      <c r="H1583" s="273">
        <v>16</v>
      </c>
      <c r="I1583" s="273">
        <v>92</v>
      </c>
      <c r="J1583" s="274">
        <v>48</v>
      </c>
    </row>
    <row r="1584" spans="1:10" ht="18" customHeight="1" x14ac:dyDescent="0.35">
      <c r="A1584" s="274">
        <f>MATCH(B1584,STUDIES!$A$3:$A$502,0)</f>
        <v>52</v>
      </c>
      <c r="B1584" s="272" t="s">
        <v>1406</v>
      </c>
      <c r="D1584" s="281" t="s">
        <v>148</v>
      </c>
      <c r="E1584" s="272" t="s">
        <v>1243</v>
      </c>
      <c r="F1584" s="155" t="str">
        <f>_xlfn.XLOOKUP(B1584,STUDIES!$A$3:$A$1063,STUDIES!$G$3:$G$1063,"Not Found!")</f>
        <v>A</v>
      </c>
      <c r="G1584" s="273" t="s">
        <v>147</v>
      </c>
      <c r="H1584" s="273">
        <v>16</v>
      </c>
      <c r="I1584" s="273">
        <v>93</v>
      </c>
      <c r="J1584" s="274">
        <v>16</v>
      </c>
    </row>
    <row r="1585" spans="1:10" ht="18" customHeight="1" x14ac:dyDescent="0.35">
      <c r="A1585" s="274">
        <f>MATCH(B1585,STUDIES!$A$3:$A$502,0)</f>
        <v>52</v>
      </c>
      <c r="B1585" s="272" t="s">
        <v>1406</v>
      </c>
      <c r="D1585" s="281" t="s">
        <v>1042</v>
      </c>
      <c r="E1585" s="272" t="s">
        <v>1243</v>
      </c>
      <c r="F1585" s="155" t="str">
        <f>_xlfn.XLOOKUP(B1585,STUDIES!$A$3:$A$1063,STUDIES!$G$3:$G$1063,"Not Found!")</f>
        <v>A</v>
      </c>
      <c r="G1585" s="273" t="s">
        <v>147</v>
      </c>
      <c r="H1585" s="273">
        <v>16</v>
      </c>
      <c r="I1585" s="273">
        <v>93</v>
      </c>
      <c r="J1585" s="274">
        <v>21</v>
      </c>
    </row>
    <row r="1586" spans="1:10" ht="18" customHeight="1" x14ac:dyDescent="0.35">
      <c r="A1586" s="274">
        <f>MATCH(B1586,STUDIES!$A$3:$A$502,0)</f>
        <v>52</v>
      </c>
      <c r="B1586" s="272" t="s">
        <v>1406</v>
      </c>
      <c r="D1586" s="281" t="s">
        <v>1043</v>
      </c>
      <c r="E1586" s="272" t="s">
        <v>1243</v>
      </c>
      <c r="F1586" s="155" t="str">
        <f>_xlfn.XLOOKUP(B1586,STUDIES!$A$3:$A$1063,STUDIES!$G$3:$G$1063,"Not Found!")</f>
        <v>A</v>
      </c>
      <c r="G1586" s="273" t="s">
        <v>147</v>
      </c>
      <c r="H1586" s="273">
        <v>16</v>
      </c>
      <c r="I1586" s="273">
        <v>185</v>
      </c>
      <c r="J1586" s="274">
        <v>51</v>
      </c>
    </row>
    <row r="1587" spans="1:10" ht="18" customHeight="1" x14ac:dyDescent="0.35">
      <c r="A1587" s="274">
        <f>MATCH(B1587,STUDIES!$A$3:$A$502,0)</f>
        <v>52</v>
      </c>
      <c r="B1587" s="272" t="s">
        <v>1406</v>
      </c>
      <c r="D1587" s="281" t="s">
        <v>1044</v>
      </c>
      <c r="E1587" s="272" t="s">
        <v>1243</v>
      </c>
      <c r="F1587" s="155" t="str">
        <f>_xlfn.XLOOKUP(B1587,STUDIES!$A$3:$A$1063,STUDIES!$G$3:$G$1063,"Not Found!")</f>
        <v>A</v>
      </c>
      <c r="G1587" s="273" t="s">
        <v>147</v>
      </c>
      <c r="H1587" s="273">
        <v>16</v>
      </c>
      <c r="I1587" s="273">
        <v>92</v>
      </c>
      <c r="J1587" s="274">
        <v>29</v>
      </c>
    </row>
    <row r="1588" spans="1:10" ht="18" customHeight="1" x14ac:dyDescent="0.35">
      <c r="A1588" s="274">
        <f>MATCH(B1588,STUDIES!$A$3:$A$502,0)</f>
        <v>52</v>
      </c>
      <c r="B1588" s="272" t="s">
        <v>1406</v>
      </c>
      <c r="D1588" s="281" t="s">
        <v>148</v>
      </c>
      <c r="E1588" s="272" t="s">
        <v>1244</v>
      </c>
      <c r="F1588" s="155" t="str">
        <f>_xlfn.XLOOKUP(B1588,STUDIES!$A$3:$A$1063,STUDIES!$G$3:$G$1063,"Not Found!")</f>
        <v>A</v>
      </c>
      <c r="G1588" s="273" t="s">
        <v>147</v>
      </c>
      <c r="H1588" s="273">
        <v>16</v>
      </c>
      <c r="I1588" s="273">
        <v>93</v>
      </c>
      <c r="J1588" s="274">
        <v>6</v>
      </c>
    </row>
    <row r="1589" spans="1:10" ht="18" customHeight="1" x14ac:dyDescent="0.35">
      <c r="A1589" s="274">
        <f>MATCH(B1589,STUDIES!$A$3:$A$502,0)</f>
        <v>52</v>
      </c>
      <c r="B1589" s="272" t="s">
        <v>1406</v>
      </c>
      <c r="D1589" s="281" t="s">
        <v>1042</v>
      </c>
      <c r="E1589" s="272" t="s">
        <v>1244</v>
      </c>
      <c r="F1589" s="155" t="str">
        <f>_xlfn.XLOOKUP(B1589,STUDIES!$A$3:$A$1063,STUDIES!$G$3:$G$1063,"Not Found!")</f>
        <v>A</v>
      </c>
      <c r="G1589" s="273" t="s">
        <v>147</v>
      </c>
      <c r="H1589" s="273">
        <v>16</v>
      </c>
      <c r="I1589" s="273">
        <v>93</v>
      </c>
      <c r="J1589" s="274">
        <v>8</v>
      </c>
    </row>
    <row r="1590" spans="1:10" ht="18" customHeight="1" x14ac:dyDescent="0.35">
      <c r="A1590" s="274">
        <f>MATCH(B1590,STUDIES!$A$3:$A$502,0)</f>
        <v>52</v>
      </c>
      <c r="B1590" s="272" t="s">
        <v>1406</v>
      </c>
      <c r="D1590" s="281" t="s">
        <v>1043</v>
      </c>
      <c r="E1590" s="272" t="s">
        <v>1244</v>
      </c>
      <c r="F1590" s="155" t="str">
        <f>_xlfn.XLOOKUP(B1590,STUDIES!$A$3:$A$1063,STUDIES!$G$3:$G$1063,"Not Found!")</f>
        <v>A</v>
      </c>
      <c r="G1590" s="273" t="s">
        <v>147</v>
      </c>
      <c r="H1590" s="273">
        <v>16</v>
      </c>
      <c r="I1590" s="273">
        <v>185</v>
      </c>
      <c r="J1590" s="274">
        <v>19</v>
      </c>
    </row>
    <row r="1591" spans="1:10" ht="18" customHeight="1" x14ac:dyDescent="0.35">
      <c r="A1591" s="274">
        <f>MATCH(B1591,STUDIES!$A$3:$A$502,0)</f>
        <v>52</v>
      </c>
      <c r="B1591" s="272" t="s">
        <v>1406</v>
      </c>
      <c r="D1591" s="281" t="s">
        <v>1044</v>
      </c>
      <c r="E1591" s="272" t="s">
        <v>1244</v>
      </c>
      <c r="F1591" s="155" t="str">
        <f>_xlfn.XLOOKUP(B1591,STUDIES!$A$3:$A$1063,STUDIES!$G$3:$G$1063,"Not Found!")</f>
        <v>A</v>
      </c>
      <c r="G1591" s="273" t="s">
        <v>147</v>
      </c>
      <c r="H1591" s="273">
        <v>16</v>
      </c>
      <c r="I1591" s="273">
        <v>92</v>
      </c>
      <c r="J1591" s="274">
        <v>13</v>
      </c>
    </row>
    <row r="1592" spans="1:10" ht="18" customHeight="1" x14ac:dyDescent="0.35">
      <c r="A1592" s="274">
        <f>MATCH(B1592,STUDIES!$A$3:$A$502,0)</f>
        <v>52</v>
      </c>
      <c r="B1592" s="272" t="s">
        <v>1406</v>
      </c>
      <c r="D1592" s="281" t="s">
        <v>148</v>
      </c>
      <c r="E1592" s="272" t="s">
        <v>1268</v>
      </c>
      <c r="F1592" s="155" t="str">
        <f>_xlfn.XLOOKUP(B1592,STUDIES!$A$3:$A$1063,STUDIES!$G$3:$G$1063,"Not Found!")</f>
        <v>A</v>
      </c>
      <c r="G1592" s="273" t="s">
        <v>147</v>
      </c>
      <c r="H1592" s="273">
        <v>16</v>
      </c>
      <c r="I1592" s="273">
        <v>93</v>
      </c>
      <c r="J1592" s="274">
        <v>9</v>
      </c>
    </row>
    <row r="1593" spans="1:10" ht="18" customHeight="1" x14ac:dyDescent="0.35">
      <c r="A1593" s="274">
        <f>MATCH(B1593,STUDIES!$A$3:$A$502,0)</f>
        <v>52</v>
      </c>
      <c r="B1593" s="272" t="s">
        <v>1406</v>
      </c>
      <c r="D1593" s="281" t="s">
        <v>1042</v>
      </c>
      <c r="E1593" s="272" t="s">
        <v>1268</v>
      </c>
      <c r="F1593" s="155" t="str">
        <f>_xlfn.XLOOKUP(B1593,STUDIES!$A$3:$A$1063,STUDIES!$G$3:$G$1063,"Not Found!")</f>
        <v>A</v>
      </c>
      <c r="G1593" s="273" t="s">
        <v>147</v>
      </c>
      <c r="H1593" s="273">
        <v>16</v>
      </c>
      <c r="I1593" s="273">
        <v>93</v>
      </c>
      <c r="J1593" s="274">
        <v>12</v>
      </c>
    </row>
    <row r="1594" spans="1:10" ht="18" customHeight="1" x14ac:dyDescent="0.35">
      <c r="A1594" s="274">
        <f>MATCH(B1594,STUDIES!$A$3:$A$502,0)</f>
        <v>52</v>
      </c>
      <c r="B1594" s="272" t="s">
        <v>1406</v>
      </c>
      <c r="D1594" s="281" t="s">
        <v>1043</v>
      </c>
      <c r="E1594" s="272" t="s">
        <v>1268</v>
      </c>
      <c r="F1594" s="155" t="str">
        <f>_xlfn.XLOOKUP(B1594,STUDIES!$A$3:$A$1063,STUDIES!$G$3:$G$1063,"Not Found!")</f>
        <v>A</v>
      </c>
      <c r="G1594" s="273" t="s">
        <v>147</v>
      </c>
      <c r="H1594" s="273">
        <v>16</v>
      </c>
      <c r="I1594" s="273">
        <v>185</v>
      </c>
      <c r="J1594" s="274">
        <v>28</v>
      </c>
    </row>
    <row r="1595" spans="1:10" ht="18" customHeight="1" x14ac:dyDescent="0.35">
      <c r="A1595" s="274">
        <f>MATCH(B1595,STUDIES!$A$3:$A$502,0)</f>
        <v>52</v>
      </c>
      <c r="B1595" s="272" t="s">
        <v>1406</v>
      </c>
      <c r="D1595" s="281" t="s">
        <v>1044</v>
      </c>
      <c r="E1595" s="272" t="s">
        <v>1268</v>
      </c>
      <c r="F1595" s="155" t="str">
        <f>_xlfn.XLOOKUP(B1595,STUDIES!$A$3:$A$1063,STUDIES!$G$3:$G$1063,"Not Found!")</f>
        <v>A</v>
      </c>
      <c r="G1595" s="273" t="s">
        <v>147</v>
      </c>
      <c r="H1595" s="273">
        <v>16</v>
      </c>
      <c r="I1595" s="273">
        <v>92</v>
      </c>
      <c r="J1595" s="274">
        <v>20</v>
      </c>
    </row>
    <row r="1596" spans="1:10" ht="18" customHeight="1" x14ac:dyDescent="0.35">
      <c r="A1596" s="274">
        <f>MATCH(B1596,STUDIES!$A$3:$A$502,0)</f>
        <v>53</v>
      </c>
      <c r="B1596" s="272" t="s">
        <v>1179</v>
      </c>
      <c r="D1596" s="281" t="s">
        <v>148</v>
      </c>
      <c r="E1596" s="272" t="s">
        <v>1258</v>
      </c>
      <c r="F1596" s="155" t="str">
        <f>_xlfn.XLOOKUP(B1596,STUDIES!$A$3:$A$1063,STUDIES!$G$3:$G$1063,"Not Found!")</f>
        <v>A</v>
      </c>
      <c r="G1596" s="273" t="s">
        <v>147</v>
      </c>
      <c r="H1596" s="273">
        <v>12</v>
      </c>
      <c r="I1596" s="273">
        <v>129</v>
      </c>
      <c r="J1596" s="274">
        <v>68</v>
      </c>
    </row>
    <row r="1597" spans="1:10" ht="18" customHeight="1" x14ac:dyDescent="0.35">
      <c r="A1597" s="274">
        <f>MATCH(B1597,STUDIES!$A$3:$A$502,0)</f>
        <v>53</v>
      </c>
      <c r="B1597" s="272" t="s">
        <v>1179</v>
      </c>
      <c r="D1597" s="281" t="s">
        <v>1088</v>
      </c>
      <c r="E1597" s="272" t="s">
        <v>1258</v>
      </c>
      <c r="F1597" s="155" t="str">
        <f>_xlfn.XLOOKUP(B1597,STUDIES!$A$3:$A$1063,STUDIES!$G$3:$G$1063,"Not Found!")</f>
        <v>A</v>
      </c>
      <c r="G1597" s="273" t="s">
        <v>147</v>
      </c>
      <c r="H1597" s="273">
        <v>12</v>
      </c>
      <c r="I1597" s="273">
        <v>235</v>
      </c>
      <c r="J1597" s="274">
        <v>177</v>
      </c>
    </row>
    <row r="1598" spans="1:10" ht="18" customHeight="1" x14ac:dyDescent="0.35">
      <c r="A1598" s="274">
        <f>MATCH(B1598,STUDIES!$A$3:$A$502,0)</f>
        <v>53</v>
      </c>
      <c r="B1598" s="272" t="s">
        <v>1179</v>
      </c>
      <c r="D1598" s="281" t="s">
        <v>1089</v>
      </c>
      <c r="E1598" s="272" t="s">
        <v>1258</v>
      </c>
      <c r="F1598" s="155" t="str">
        <f>_xlfn.XLOOKUP(B1598,STUDIES!$A$3:$A$1063,STUDIES!$G$3:$G$1063,"Not Found!")</f>
        <v>A</v>
      </c>
      <c r="G1598" s="273" t="s">
        <v>147</v>
      </c>
      <c r="H1598" s="273">
        <v>12</v>
      </c>
      <c r="I1598" s="273">
        <v>219</v>
      </c>
      <c r="J1598" s="274">
        <v>189</v>
      </c>
    </row>
    <row r="1599" spans="1:10" ht="18" customHeight="1" x14ac:dyDescent="0.35">
      <c r="A1599" s="274">
        <f>MATCH(B1599,STUDIES!$A$3:$A$502,0)</f>
        <v>53</v>
      </c>
      <c r="B1599" s="272" t="s">
        <v>1179</v>
      </c>
      <c r="D1599" s="281" t="s">
        <v>1056</v>
      </c>
      <c r="E1599" s="272" t="s">
        <v>1258</v>
      </c>
      <c r="F1599" s="155" t="str">
        <f>_xlfn.XLOOKUP(B1599,STUDIES!$A$3:$A$1063,STUDIES!$G$3:$G$1063,"Not Found!")</f>
        <v>A</v>
      </c>
      <c r="G1599" s="273" t="s">
        <v>147</v>
      </c>
      <c r="H1599" s="273">
        <v>12</v>
      </c>
      <c r="I1599" s="273">
        <v>241</v>
      </c>
      <c r="J1599" s="274">
        <v>195</v>
      </c>
    </row>
    <row r="1600" spans="1:10" ht="18" customHeight="1" x14ac:dyDescent="0.35">
      <c r="A1600" s="274">
        <f>MATCH(B1600,STUDIES!$A$3:$A$502,0)</f>
        <v>53</v>
      </c>
      <c r="B1600" s="272" t="s">
        <v>1179</v>
      </c>
      <c r="D1600" s="281" t="s">
        <v>148</v>
      </c>
      <c r="E1600" s="272" t="s">
        <v>1243</v>
      </c>
      <c r="F1600" s="155" t="str">
        <f>_xlfn.XLOOKUP(B1600,STUDIES!$A$3:$A$1063,STUDIES!$G$3:$G$1063,"Not Found!")</f>
        <v>A</v>
      </c>
      <c r="G1600" s="273" t="s">
        <v>147</v>
      </c>
      <c r="H1600" s="273">
        <v>16</v>
      </c>
      <c r="I1600" s="273">
        <v>124</v>
      </c>
      <c r="J1600" s="274">
        <v>38</v>
      </c>
    </row>
    <row r="1601" spans="1:10" ht="18" customHeight="1" x14ac:dyDescent="0.35">
      <c r="A1601" s="274">
        <f>MATCH(B1601,STUDIES!$A$3:$A$502,0)</f>
        <v>53</v>
      </c>
      <c r="B1601" s="272" t="s">
        <v>1179</v>
      </c>
      <c r="D1601" s="281" t="s">
        <v>1088</v>
      </c>
      <c r="E1601" s="272" t="s">
        <v>1243</v>
      </c>
      <c r="F1601" s="155" t="str">
        <f>_xlfn.XLOOKUP(B1601,STUDIES!$A$3:$A$1063,STUDIES!$G$3:$G$1063,"Not Found!")</f>
        <v>A</v>
      </c>
      <c r="G1601" s="273" t="s">
        <v>147</v>
      </c>
      <c r="H1601" s="273">
        <v>16</v>
      </c>
      <c r="I1601" s="273">
        <v>229</v>
      </c>
      <c r="J1601" s="274">
        <v>138</v>
      </c>
    </row>
    <row r="1602" spans="1:10" ht="18" customHeight="1" x14ac:dyDescent="0.35">
      <c r="A1602" s="274">
        <f>MATCH(B1602,STUDIES!$A$3:$A$502,0)</f>
        <v>53</v>
      </c>
      <c r="B1602" s="272" t="s">
        <v>1179</v>
      </c>
      <c r="D1602" s="281" t="s">
        <v>1089</v>
      </c>
      <c r="E1602" s="272" t="s">
        <v>1243</v>
      </c>
      <c r="F1602" s="155" t="str">
        <f>_xlfn.XLOOKUP(B1602,STUDIES!$A$3:$A$1063,STUDIES!$G$3:$G$1063,"Not Found!")</f>
        <v>A</v>
      </c>
      <c r="G1602" s="273" t="s">
        <v>147</v>
      </c>
      <c r="H1602" s="273">
        <v>16</v>
      </c>
      <c r="I1602" s="273">
        <v>221</v>
      </c>
      <c r="J1602" s="274">
        <v>157</v>
      </c>
    </row>
    <row r="1603" spans="1:10" ht="18" customHeight="1" x14ac:dyDescent="0.35">
      <c r="A1603" s="274">
        <f>MATCH(B1603,STUDIES!$A$3:$A$502,0)</f>
        <v>53</v>
      </c>
      <c r="B1603" s="272" t="s">
        <v>1179</v>
      </c>
      <c r="D1603" s="281" t="s">
        <v>1056</v>
      </c>
      <c r="E1603" s="272" t="s">
        <v>1243</v>
      </c>
      <c r="F1603" s="155" t="str">
        <f>_xlfn.XLOOKUP(B1603,STUDIES!$A$3:$A$1063,STUDIES!$G$3:$G$1063,"Not Found!")</f>
        <v>A</v>
      </c>
      <c r="G1603" s="273" t="s">
        <v>147</v>
      </c>
      <c r="H1603" s="273">
        <v>16</v>
      </c>
      <c r="I1603" s="273">
        <v>232</v>
      </c>
      <c r="J1603" s="274">
        <v>152</v>
      </c>
    </row>
    <row r="1604" spans="1:10" ht="18" customHeight="1" x14ac:dyDescent="0.35">
      <c r="A1604" s="274">
        <f>MATCH(B1604,STUDIES!$A$3:$A$502,0)</f>
        <v>53</v>
      </c>
      <c r="B1604" s="272" t="s">
        <v>1179</v>
      </c>
      <c r="D1604" s="281" t="s">
        <v>148</v>
      </c>
      <c r="E1604" s="272" t="s">
        <v>1244</v>
      </c>
      <c r="F1604" s="155" t="str">
        <f>_xlfn.XLOOKUP(B1604,STUDIES!$A$3:$A$1063,STUDIES!$G$3:$G$1063,"Not Found!")</f>
        <v>A</v>
      </c>
      <c r="G1604" s="273" t="s">
        <v>147</v>
      </c>
      <c r="H1604" s="273">
        <v>12</v>
      </c>
      <c r="I1604" s="273">
        <v>129</v>
      </c>
      <c r="J1604" s="274">
        <v>13</v>
      </c>
    </row>
    <row r="1605" spans="1:10" ht="18" customHeight="1" x14ac:dyDescent="0.35">
      <c r="A1605" s="274">
        <f>MATCH(B1605,STUDIES!$A$3:$A$502,0)</f>
        <v>53</v>
      </c>
      <c r="B1605" s="272" t="s">
        <v>1179</v>
      </c>
      <c r="D1605" s="281" t="s">
        <v>1088</v>
      </c>
      <c r="E1605" s="272" t="s">
        <v>1244</v>
      </c>
      <c r="F1605" s="155" t="str">
        <f>_xlfn.XLOOKUP(B1605,STUDIES!$A$3:$A$1063,STUDIES!$G$3:$G$1063,"Not Found!")</f>
        <v>A</v>
      </c>
      <c r="G1605" s="273" t="s">
        <v>147</v>
      </c>
      <c r="H1605" s="273">
        <v>12</v>
      </c>
      <c r="I1605" s="273">
        <v>235</v>
      </c>
      <c r="J1605" s="274">
        <v>86</v>
      </c>
    </row>
    <row r="1606" spans="1:10" ht="18" customHeight="1" x14ac:dyDescent="0.35">
      <c r="A1606" s="274">
        <f>MATCH(B1606,STUDIES!$A$3:$A$502,0)</f>
        <v>53</v>
      </c>
      <c r="B1606" s="272" t="s">
        <v>1179</v>
      </c>
      <c r="D1606" s="281" t="s">
        <v>1089</v>
      </c>
      <c r="E1606" s="272" t="s">
        <v>1244</v>
      </c>
      <c r="F1606" s="155" t="str">
        <f>_xlfn.XLOOKUP(B1606,STUDIES!$A$3:$A$1063,STUDIES!$G$3:$G$1063,"Not Found!")</f>
        <v>A</v>
      </c>
      <c r="G1606" s="273" t="s">
        <v>147</v>
      </c>
      <c r="H1606" s="273">
        <v>12</v>
      </c>
      <c r="I1606" s="273">
        <v>219</v>
      </c>
      <c r="J1606" s="274">
        <v>101</v>
      </c>
    </row>
    <row r="1607" spans="1:10" ht="18" customHeight="1" x14ac:dyDescent="0.35">
      <c r="A1607" s="274">
        <f>MATCH(B1607,STUDIES!$A$3:$A$502,0)</f>
        <v>53</v>
      </c>
      <c r="B1607" s="272" t="s">
        <v>1179</v>
      </c>
      <c r="D1607" s="281" t="s">
        <v>1056</v>
      </c>
      <c r="E1607" s="272" t="s">
        <v>1244</v>
      </c>
      <c r="F1607" s="155" t="str">
        <f>_xlfn.XLOOKUP(B1607,STUDIES!$A$3:$A$1063,STUDIES!$G$3:$G$1063,"Not Found!")</f>
        <v>A</v>
      </c>
      <c r="G1607" s="273" t="s">
        <v>147</v>
      </c>
      <c r="H1607" s="273">
        <v>12</v>
      </c>
      <c r="I1607" s="273">
        <v>241</v>
      </c>
      <c r="J1607" s="274">
        <v>84</v>
      </c>
    </row>
    <row r="1608" spans="1:10" ht="18" customHeight="1" x14ac:dyDescent="0.35">
      <c r="A1608" s="274">
        <f>MATCH(B1608,STUDIES!$A$3:$A$502,0)</f>
        <v>53</v>
      </c>
      <c r="B1608" s="272" t="s">
        <v>1179</v>
      </c>
      <c r="D1608" s="281" t="s">
        <v>148</v>
      </c>
      <c r="E1608" s="272" t="s">
        <v>1268</v>
      </c>
      <c r="F1608" s="155" t="str">
        <f>_xlfn.XLOOKUP(B1608,STUDIES!$A$3:$A$1063,STUDIES!$G$3:$G$1063,"Not Found!")</f>
        <v>A</v>
      </c>
      <c r="G1608" s="273" t="s">
        <v>147</v>
      </c>
      <c r="H1608" s="273">
        <v>16</v>
      </c>
      <c r="I1608" s="273">
        <v>124</v>
      </c>
      <c r="J1608" s="274">
        <v>16</v>
      </c>
    </row>
    <row r="1609" spans="1:10" ht="18" customHeight="1" x14ac:dyDescent="0.35">
      <c r="A1609" s="274">
        <f>MATCH(B1609,STUDIES!$A$3:$A$502,0)</f>
        <v>53</v>
      </c>
      <c r="B1609" s="272" t="s">
        <v>1179</v>
      </c>
      <c r="D1609" s="281" t="s">
        <v>1088</v>
      </c>
      <c r="E1609" s="272" t="s">
        <v>1268</v>
      </c>
      <c r="F1609" s="155" t="str">
        <f>_xlfn.XLOOKUP(B1609,STUDIES!$A$3:$A$1063,STUDIES!$G$3:$G$1063,"Not Found!")</f>
        <v>A</v>
      </c>
      <c r="G1609" s="273" t="s">
        <v>147</v>
      </c>
      <c r="H1609" s="273">
        <v>16</v>
      </c>
      <c r="I1609" s="273">
        <v>230</v>
      </c>
      <c r="J1609" s="274">
        <v>80</v>
      </c>
    </row>
    <row r="1610" spans="1:10" ht="18" customHeight="1" x14ac:dyDescent="0.35">
      <c r="A1610" s="274">
        <f>MATCH(B1610,STUDIES!$A$3:$A$502,0)</f>
        <v>53</v>
      </c>
      <c r="B1610" s="272" t="s">
        <v>1179</v>
      </c>
      <c r="D1610" s="281" t="s">
        <v>1089</v>
      </c>
      <c r="E1610" s="272" t="s">
        <v>1268</v>
      </c>
      <c r="F1610" s="155" t="str">
        <f>_xlfn.XLOOKUP(B1610,STUDIES!$A$3:$A$1063,STUDIES!$G$3:$G$1063,"Not Found!")</f>
        <v>A</v>
      </c>
      <c r="G1610" s="273" t="s">
        <v>147</v>
      </c>
      <c r="H1610" s="273">
        <v>16</v>
      </c>
      <c r="I1610" s="273">
        <v>221</v>
      </c>
      <c r="J1610" s="274">
        <v>105</v>
      </c>
    </row>
    <row r="1611" spans="1:10" ht="18" customHeight="1" x14ac:dyDescent="0.35">
      <c r="A1611" s="274">
        <f>MATCH(B1611,STUDIES!$A$3:$A$502,0)</f>
        <v>53</v>
      </c>
      <c r="B1611" s="272" t="s">
        <v>1179</v>
      </c>
      <c r="D1611" s="281" t="s">
        <v>1056</v>
      </c>
      <c r="E1611" s="272" t="s">
        <v>1268</v>
      </c>
      <c r="F1611" s="155" t="str">
        <f>_xlfn.XLOOKUP(B1611,STUDIES!$A$3:$A$1063,STUDIES!$G$3:$G$1063,"Not Found!")</f>
        <v>A</v>
      </c>
      <c r="G1611" s="273" t="s">
        <v>147</v>
      </c>
      <c r="H1611" s="273">
        <v>16</v>
      </c>
      <c r="I1611" s="273">
        <v>232</v>
      </c>
      <c r="J1611" s="274">
        <v>90</v>
      </c>
    </row>
    <row r="1612" spans="1:10" ht="18" customHeight="1" x14ac:dyDescent="0.35">
      <c r="A1612" s="274">
        <f>MATCH(B1612,STUDIES!$A$3:$A$502,0)</f>
        <v>54</v>
      </c>
      <c r="B1612" s="272" t="s">
        <v>1152</v>
      </c>
      <c r="D1612" s="281" t="s">
        <v>1088</v>
      </c>
      <c r="E1612" s="272" t="s">
        <v>1258</v>
      </c>
      <c r="F1612" s="155" t="str">
        <f>_xlfn.XLOOKUP(B1612,STUDIES!$A$3:$A$1063,STUDIES!$G$3:$G$1063,"Not Found!")</f>
        <v>A</v>
      </c>
      <c r="G1612" s="273" t="s">
        <v>147</v>
      </c>
      <c r="H1612" s="273">
        <v>12</v>
      </c>
      <c r="I1612" s="273">
        <v>155</v>
      </c>
      <c r="J1612" s="274">
        <v>106</v>
      </c>
    </row>
    <row r="1613" spans="1:10" ht="18" customHeight="1" x14ac:dyDescent="0.35">
      <c r="A1613" s="274">
        <f>MATCH(B1613,STUDIES!$A$3:$A$502,0)</f>
        <v>54</v>
      </c>
      <c r="B1613" s="272" t="s">
        <v>1152</v>
      </c>
      <c r="D1613" s="281" t="s">
        <v>1089</v>
      </c>
      <c r="E1613" s="272" t="s">
        <v>1258</v>
      </c>
      <c r="F1613" s="155" t="str">
        <f>_xlfn.XLOOKUP(B1613,STUDIES!$A$3:$A$1063,STUDIES!$G$3:$G$1063,"Not Found!")</f>
        <v>A</v>
      </c>
      <c r="G1613" s="273" t="s">
        <v>147</v>
      </c>
      <c r="H1613" s="273">
        <v>12</v>
      </c>
      <c r="I1613" s="273">
        <v>154</v>
      </c>
      <c r="J1613" s="274">
        <v>123</v>
      </c>
    </row>
    <row r="1614" spans="1:10" ht="18" customHeight="1" x14ac:dyDescent="0.35">
      <c r="A1614" s="274">
        <f>MATCH(B1614,STUDIES!$A$3:$A$502,0)</f>
        <v>54</v>
      </c>
      <c r="B1614" s="272" t="s">
        <v>1152</v>
      </c>
      <c r="D1614" s="281" t="s">
        <v>148</v>
      </c>
      <c r="E1614" s="272" t="s">
        <v>1258</v>
      </c>
      <c r="F1614" s="155" t="str">
        <f>_xlfn.XLOOKUP(B1614,STUDIES!$A$3:$A$1063,STUDIES!$G$3:$G$1063,"Not Found!")</f>
        <v>A</v>
      </c>
      <c r="G1614" s="273" t="s">
        <v>147</v>
      </c>
      <c r="H1614" s="273">
        <v>12</v>
      </c>
      <c r="I1614" s="273">
        <v>77</v>
      </c>
      <c r="J1614" s="274">
        <v>15</v>
      </c>
    </row>
    <row r="1615" spans="1:10" ht="18" customHeight="1" x14ac:dyDescent="0.35">
      <c r="A1615" s="274">
        <f>MATCH(B1615,STUDIES!$A$3:$A$502,0)</f>
        <v>54</v>
      </c>
      <c r="B1615" s="272" t="s">
        <v>1152</v>
      </c>
      <c r="D1615" s="281" t="s">
        <v>1088</v>
      </c>
      <c r="E1615" s="272" t="s">
        <v>1243</v>
      </c>
      <c r="F1615" s="155" t="str">
        <f>_xlfn.XLOOKUP(B1615,STUDIES!$A$3:$A$1063,STUDIES!$G$3:$G$1063,"Not Found!")</f>
        <v>A</v>
      </c>
      <c r="G1615" s="273" t="s">
        <v>147</v>
      </c>
      <c r="H1615" s="273">
        <v>12</v>
      </c>
      <c r="I1615" s="273">
        <v>155</v>
      </c>
      <c r="J1615" s="274">
        <v>69</v>
      </c>
    </row>
    <row r="1616" spans="1:10" ht="18" customHeight="1" x14ac:dyDescent="0.35">
      <c r="A1616" s="274">
        <f>MATCH(B1616,STUDIES!$A$3:$A$502,0)</f>
        <v>54</v>
      </c>
      <c r="B1616" s="272" t="s">
        <v>1152</v>
      </c>
      <c r="D1616" s="281" t="s">
        <v>1089</v>
      </c>
      <c r="E1616" s="272" t="s">
        <v>1243</v>
      </c>
      <c r="F1616" s="155" t="str">
        <f>_xlfn.XLOOKUP(B1616,STUDIES!$A$3:$A$1063,STUDIES!$G$3:$G$1063,"Not Found!")</f>
        <v>A</v>
      </c>
      <c r="G1616" s="273" t="s">
        <v>147</v>
      </c>
      <c r="H1616" s="273">
        <v>12</v>
      </c>
      <c r="I1616" s="273">
        <v>154</v>
      </c>
      <c r="J1616" s="274">
        <v>94</v>
      </c>
    </row>
    <row r="1617" spans="1:10" ht="18" customHeight="1" x14ac:dyDescent="0.35">
      <c r="A1617" s="274">
        <f>MATCH(B1617,STUDIES!$A$3:$A$502,0)</f>
        <v>54</v>
      </c>
      <c r="B1617" s="272" t="s">
        <v>1152</v>
      </c>
      <c r="D1617" s="281" t="s">
        <v>148</v>
      </c>
      <c r="E1617" s="272" t="s">
        <v>1243</v>
      </c>
      <c r="F1617" s="155" t="str">
        <f>_xlfn.XLOOKUP(B1617,STUDIES!$A$3:$A$1063,STUDIES!$G$3:$G$1063,"Not Found!")</f>
        <v>A</v>
      </c>
      <c r="G1617" s="273" t="s">
        <v>147</v>
      </c>
      <c r="H1617" s="273">
        <v>12</v>
      </c>
      <c r="I1617" s="273">
        <v>77</v>
      </c>
      <c r="J1617" s="274">
        <v>8</v>
      </c>
    </row>
    <row r="1618" spans="1:10" ht="18" customHeight="1" x14ac:dyDescent="0.35">
      <c r="A1618" s="274">
        <f>MATCH(B1618,STUDIES!$A$3:$A$502,0)</f>
        <v>54</v>
      </c>
      <c r="B1618" s="272" t="s">
        <v>1152</v>
      </c>
      <c r="D1618" s="281" t="s">
        <v>1088</v>
      </c>
      <c r="E1618" s="272" t="s">
        <v>1244</v>
      </c>
      <c r="F1618" s="155" t="str">
        <f>_xlfn.XLOOKUP(B1618,STUDIES!$A$3:$A$1063,STUDIES!$G$3:$G$1063,"Not Found!")</f>
        <v>A</v>
      </c>
      <c r="G1618" s="273" t="s">
        <v>147</v>
      </c>
      <c r="H1618" s="273">
        <v>12</v>
      </c>
      <c r="I1618" s="273">
        <v>155</v>
      </c>
      <c r="J1618" s="274">
        <v>37</v>
      </c>
    </row>
    <row r="1619" spans="1:10" ht="18" customHeight="1" x14ac:dyDescent="0.35">
      <c r="A1619" s="274">
        <f>MATCH(B1619,STUDIES!$A$3:$A$502,0)</f>
        <v>54</v>
      </c>
      <c r="B1619" s="272" t="s">
        <v>1152</v>
      </c>
      <c r="D1619" s="281" t="s">
        <v>1089</v>
      </c>
      <c r="E1619" s="272" t="s">
        <v>1244</v>
      </c>
      <c r="F1619" s="155" t="str">
        <f>_xlfn.XLOOKUP(B1619,STUDIES!$A$3:$A$1063,STUDIES!$G$3:$G$1063,"Not Found!")</f>
        <v>A</v>
      </c>
      <c r="G1619" s="273" t="s">
        <v>147</v>
      </c>
      <c r="H1619" s="273">
        <v>12</v>
      </c>
      <c r="I1619" s="273">
        <v>154</v>
      </c>
      <c r="J1619" s="274">
        <v>58</v>
      </c>
    </row>
    <row r="1620" spans="1:10" ht="18" customHeight="1" x14ac:dyDescent="0.35">
      <c r="A1620" s="274">
        <f>MATCH(B1620,STUDIES!$A$3:$A$502,0)</f>
        <v>54</v>
      </c>
      <c r="B1620" s="272" t="s">
        <v>1152</v>
      </c>
      <c r="D1620" s="281" t="s">
        <v>148</v>
      </c>
      <c r="E1620" s="272" t="s">
        <v>1244</v>
      </c>
      <c r="F1620" s="155" t="str">
        <f>_xlfn.XLOOKUP(B1620,STUDIES!$A$3:$A$1063,STUDIES!$G$3:$G$1063,"Not Found!")</f>
        <v>A</v>
      </c>
      <c r="G1620" s="273" t="s">
        <v>147</v>
      </c>
      <c r="H1620" s="273">
        <v>12</v>
      </c>
      <c r="I1620" s="273">
        <v>77</v>
      </c>
      <c r="J1620" s="274">
        <v>3</v>
      </c>
    </row>
    <row r="1621" spans="1:10" ht="18" customHeight="1" x14ac:dyDescent="0.35">
      <c r="A1621" s="274">
        <f>MATCH(B1621,STUDIES!$A$3:$A$502,0)</f>
        <v>54</v>
      </c>
      <c r="B1621" s="272" t="s">
        <v>1152</v>
      </c>
      <c r="D1621" s="281" t="s">
        <v>1088</v>
      </c>
      <c r="E1621" s="272" t="s">
        <v>1268</v>
      </c>
      <c r="F1621" s="155" t="str">
        <f>_xlfn.XLOOKUP(B1621,STUDIES!$A$3:$A$1063,STUDIES!$G$3:$G$1063,"Not Found!")</f>
        <v>A</v>
      </c>
      <c r="G1621" s="273" t="s">
        <v>147</v>
      </c>
      <c r="H1621" s="273">
        <v>12</v>
      </c>
      <c r="I1621" s="273">
        <v>155</v>
      </c>
      <c r="J1621" s="274">
        <v>44</v>
      </c>
    </row>
    <row r="1622" spans="1:10" ht="18" customHeight="1" x14ac:dyDescent="0.35">
      <c r="A1622" s="274">
        <f>MATCH(B1622,STUDIES!$A$3:$A$502,0)</f>
        <v>54</v>
      </c>
      <c r="B1622" s="272" t="s">
        <v>1152</v>
      </c>
      <c r="D1622" s="281" t="s">
        <v>1089</v>
      </c>
      <c r="E1622" s="272" t="s">
        <v>1268</v>
      </c>
      <c r="F1622" s="155" t="str">
        <f>_xlfn.XLOOKUP(B1622,STUDIES!$A$3:$A$1063,STUDIES!$G$3:$G$1063,"Not Found!")</f>
        <v>A</v>
      </c>
      <c r="G1622" s="273" t="s">
        <v>147</v>
      </c>
      <c r="H1622" s="273">
        <v>12</v>
      </c>
      <c r="I1622" s="273">
        <v>155</v>
      </c>
      <c r="J1622" s="274">
        <v>59</v>
      </c>
    </row>
    <row r="1623" spans="1:10" ht="18" customHeight="1" x14ac:dyDescent="0.35">
      <c r="A1623" s="274">
        <f>MATCH(B1623,STUDIES!$A$3:$A$502,0)</f>
        <v>54</v>
      </c>
      <c r="B1623" s="272" t="s">
        <v>1152</v>
      </c>
      <c r="D1623" s="281" t="s">
        <v>148</v>
      </c>
      <c r="E1623" s="272" t="s">
        <v>1268</v>
      </c>
      <c r="F1623" s="155" t="str">
        <f>_xlfn.XLOOKUP(B1623,STUDIES!$A$3:$A$1063,STUDIES!$G$3:$G$1063,"Not Found!")</f>
        <v>A</v>
      </c>
      <c r="G1623" s="273" t="s">
        <v>147</v>
      </c>
      <c r="H1623" s="273">
        <v>12</v>
      </c>
      <c r="I1623" s="273">
        <v>77</v>
      </c>
      <c r="J1623" s="274">
        <v>7</v>
      </c>
    </row>
    <row r="1624" spans="1:10" ht="18" customHeight="1" x14ac:dyDescent="0.35">
      <c r="A1624" s="274">
        <f>MATCH(B1624,STUDIES!$A$3:$A$502,0)</f>
        <v>55</v>
      </c>
      <c r="B1624" s="272" t="s">
        <v>1259</v>
      </c>
      <c r="D1624" s="281" t="s">
        <v>1056</v>
      </c>
      <c r="E1624" s="272" t="s">
        <v>1258</v>
      </c>
      <c r="F1624" s="155" t="str">
        <f>_xlfn.XLOOKUP(B1624,STUDIES!$A$3:$A$1063,STUDIES!$G$3:$G$1063,"Not Found!")</f>
        <v>A</v>
      </c>
      <c r="G1624" s="273" t="s">
        <v>147</v>
      </c>
      <c r="H1624" s="273">
        <v>16</v>
      </c>
      <c r="I1624" s="273">
        <v>82</v>
      </c>
      <c r="J1624" s="274">
        <v>58</v>
      </c>
    </row>
    <row r="1625" spans="1:10" ht="18" customHeight="1" x14ac:dyDescent="0.35">
      <c r="A1625" s="274">
        <f>MATCH(B1625,STUDIES!$A$3:$A$502,0)</f>
        <v>55</v>
      </c>
      <c r="B1625" s="272" t="s">
        <v>1259</v>
      </c>
      <c r="D1625" s="281" t="s">
        <v>148</v>
      </c>
      <c r="E1625" s="272" t="s">
        <v>1258</v>
      </c>
      <c r="F1625" s="155" t="str">
        <f>_xlfn.XLOOKUP(B1625,STUDIES!$A$3:$A$1063,STUDIES!$G$3:$G$1063,"Not Found!")</f>
        <v>A</v>
      </c>
      <c r="G1625" s="273" t="s">
        <v>147</v>
      </c>
      <c r="H1625" s="273">
        <v>16</v>
      </c>
      <c r="I1625" s="273">
        <v>83</v>
      </c>
      <c r="J1625" s="274">
        <v>24</v>
      </c>
    </row>
    <row r="1626" spans="1:10" ht="18" customHeight="1" x14ac:dyDescent="0.35">
      <c r="A1626" s="274">
        <f>MATCH(B1626,STUDIES!$A$3:$A$502,0)</f>
        <v>55</v>
      </c>
      <c r="B1626" s="272" t="s">
        <v>1259</v>
      </c>
      <c r="D1626" s="281" t="s">
        <v>1056</v>
      </c>
      <c r="E1626" s="272" t="s">
        <v>1243</v>
      </c>
      <c r="F1626" s="155" t="str">
        <f>_xlfn.XLOOKUP(B1626,STUDIES!$A$3:$A$1063,STUDIES!$G$3:$G$1063,"Not Found!")</f>
        <v>A</v>
      </c>
      <c r="G1626" s="273" t="s">
        <v>147</v>
      </c>
      <c r="H1626" s="273">
        <v>16</v>
      </c>
      <c r="I1626" s="273">
        <v>82</v>
      </c>
      <c r="J1626" s="274">
        <v>47</v>
      </c>
    </row>
    <row r="1627" spans="1:10" ht="18" customHeight="1" x14ac:dyDescent="0.35">
      <c r="A1627" s="274">
        <f>MATCH(B1627,STUDIES!$A$3:$A$502,0)</f>
        <v>55</v>
      </c>
      <c r="B1627" s="272" t="s">
        <v>1259</v>
      </c>
      <c r="D1627" s="281" t="s">
        <v>148</v>
      </c>
      <c r="E1627" s="272" t="s">
        <v>1243</v>
      </c>
      <c r="F1627" s="155" t="str">
        <f>_xlfn.XLOOKUP(B1627,STUDIES!$A$3:$A$1063,STUDIES!$G$3:$G$1063,"Not Found!")</f>
        <v>A</v>
      </c>
      <c r="G1627" s="273" t="s">
        <v>147</v>
      </c>
      <c r="H1627" s="273">
        <v>16</v>
      </c>
      <c r="I1627" s="273">
        <v>83</v>
      </c>
      <c r="J1627" s="274">
        <v>12</v>
      </c>
    </row>
    <row r="1628" spans="1:10" ht="18" customHeight="1" x14ac:dyDescent="0.35">
      <c r="A1628" s="274">
        <f>MATCH(B1628,STUDIES!$A$3:$A$502,0)</f>
        <v>55</v>
      </c>
      <c r="B1628" s="272" t="s">
        <v>1259</v>
      </c>
      <c r="D1628" s="281" t="s">
        <v>1056</v>
      </c>
      <c r="E1628" s="272" t="s">
        <v>1244</v>
      </c>
      <c r="F1628" s="155" t="str">
        <f>_xlfn.XLOOKUP(B1628,STUDIES!$A$3:$A$1063,STUDIES!$G$3:$G$1063,"Not Found!")</f>
        <v>A</v>
      </c>
      <c r="G1628" s="273" t="s">
        <v>147</v>
      </c>
      <c r="H1628" s="273">
        <v>16</v>
      </c>
      <c r="I1628" s="273">
        <v>82</v>
      </c>
      <c r="J1628" s="274">
        <v>33</v>
      </c>
    </row>
    <row r="1629" spans="1:10" ht="18" customHeight="1" x14ac:dyDescent="0.35">
      <c r="A1629" s="274">
        <f>MATCH(B1629,STUDIES!$A$3:$A$502,0)</f>
        <v>55</v>
      </c>
      <c r="B1629" s="272" t="s">
        <v>1259</v>
      </c>
      <c r="D1629" s="281" t="s">
        <v>148</v>
      </c>
      <c r="E1629" s="272" t="s">
        <v>1244</v>
      </c>
      <c r="F1629" s="155" t="str">
        <f>_xlfn.XLOOKUP(B1629,STUDIES!$A$3:$A$1063,STUDIES!$G$3:$G$1063,"Not Found!")</f>
        <v>A</v>
      </c>
      <c r="G1629" s="273" t="s">
        <v>147</v>
      </c>
      <c r="H1629" s="273">
        <v>16</v>
      </c>
      <c r="I1629" s="273">
        <v>83</v>
      </c>
      <c r="J1629" s="274">
        <v>5</v>
      </c>
    </row>
    <row r="1630" spans="1:10" ht="18" customHeight="1" x14ac:dyDescent="0.35">
      <c r="A1630" s="274">
        <f>MATCH(B1630,STUDIES!$A$3:$A$502,0)</f>
        <v>55</v>
      </c>
      <c r="B1630" s="272" t="s">
        <v>1259</v>
      </c>
      <c r="D1630" s="281" t="s">
        <v>1056</v>
      </c>
      <c r="E1630" s="272" t="s">
        <v>1268</v>
      </c>
      <c r="F1630" s="155" t="str">
        <f>_xlfn.XLOOKUP(B1630,STUDIES!$A$3:$A$1063,STUDIES!$G$3:$G$1063,"Not Found!")</f>
        <v>A</v>
      </c>
      <c r="G1630" s="273" t="s">
        <v>147</v>
      </c>
      <c r="H1630" s="273">
        <v>16</v>
      </c>
      <c r="I1630" s="273">
        <v>82</v>
      </c>
      <c r="J1630" s="274">
        <v>22</v>
      </c>
    </row>
    <row r="1631" spans="1:10" ht="18" customHeight="1" x14ac:dyDescent="0.35">
      <c r="A1631" s="274">
        <f>MATCH(B1631,STUDIES!$A$3:$A$502,0)</f>
        <v>55</v>
      </c>
      <c r="B1631" s="272" t="s">
        <v>1259</v>
      </c>
      <c r="D1631" s="281" t="s">
        <v>148</v>
      </c>
      <c r="E1631" s="272" t="s">
        <v>1268</v>
      </c>
      <c r="F1631" s="155" t="str">
        <f>_xlfn.XLOOKUP(B1631,STUDIES!$A$3:$A$1063,STUDIES!$G$3:$G$1063,"Not Found!")</f>
        <v>A</v>
      </c>
      <c r="G1631" s="273" t="s">
        <v>147</v>
      </c>
      <c r="H1631" s="273">
        <v>16</v>
      </c>
      <c r="I1631" s="273">
        <v>83</v>
      </c>
      <c r="J1631" s="274">
        <v>4</v>
      </c>
    </row>
    <row r="1632" spans="1:10" ht="18" customHeight="1" x14ac:dyDescent="0.35">
      <c r="A1632" s="274">
        <f>MATCH(B1632,STUDIES!$A$3:$A$502,0)</f>
        <v>57</v>
      </c>
      <c r="B1632" s="272" t="s">
        <v>1191</v>
      </c>
      <c r="D1632" s="281" t="s">
        <v>1098</v>
      </c>
      <c r="E1632" s="272" t="s">
        <v>1243</v>
      </c>
      <c r="F1632" s="155" t="str">
        <f>_xlfn.XLOOKUP(B1632,STUDIES!$A$3:$A$1063,STUDIES!$G$3:$G$1063,"Not Found!")</f>
        <v>A</v>
      </c>
      <c r="G1632" s="273" t="s">
        <v>147</v>
      </c>
      <c r="H1632" s="273">
        <v>16</v>
      </c>
      <c r="I1632" s="273">
        <v>281</v>
      </c>
      <c r="J1632" s="274">
        <v>196</v>
      </c>
    </row>
    <row r="1633" spans="1:10" ht="18" customHeight="1" x14ac:dyDescent="0.35">
      <c r="A1633" s="274">
        <f>MATCH(B1633,STUDIES!$A$3:$A$502,0)</f>
        <v>57</v>
      </c>
      <c r="B1633" s="272" t="s">
        <v>1191</v>
      </c>
      <c r="D1633" s="281" t="s">
        <v>1099</v>
      </c>
      <c r="E1633" s="272" t="s">
        <v>1243</v>
      </c>
      <c r="F1633" s="155" t="str">
        <f>_xlfn.XLOOKUP(B1633,STUDIES!$A$3:$A$1063,STUDIES!$G$3:$G$1063,"Not Found!")</f>
        <v>A</v>
      </c>
      <c r="G1633" s="273" t="s">
        <v>147</v>
      </c>
      <c r="H1633" s="273">
        <v>16</v>
      </c>
      <c r="I1633" s="273">
        <v>285</v>
      </c>
      <c r="J1633" s="274">
        <v>227</v>
      </c>
    </row>
    <row r="1634" spans="1:10" ht="18" customHeight="1" x14ac:dyDescent="0.35">
      <c r="A1634" s="274">
        <f>MATCH(B1634,STUDIES!$A$3:$A$502,0)</f>
        <v>57</v>
      </c>
      <c r="B1634" s="272" t="s">
        <v>1191</v>
      </c>
      <c r="D1634" s="281" t="s">
        <v>148</v>
      </c>
      <c r="E1634" s="272" t="s">
        <v>1243</v>
      </c>
      <c r="F1634" s="155" t="str">
        <f>_xlfn.XLOOKUP(B1634,STUDIES!$A$3:$A$1063,STUDIES!$G$3:$G$1063,"Not Found!")</f>
        <v>A</v>
      </c>
      <c r="G1634" s="273" t="s">
        <v>147</v>
      </c>
      <c r="H1634" s="273">
        <v>16</v>
      </c>
      <c r="I1634" s="273">
        <v>281</v>
      </c>
      <c r="J1634" s="274">
        <v>46</v>
      </c>
    </row>
    <row r="1635" spans="1:10" ht="18" customHeight="1" x14ac:dyDescent="0.35">
      <c r="A1635" s="274">
        <f>MATCH(B1635,STUDIES!$A$3:$A$502,0)</f>
        <v>57</v>
      </c>
      <c r="B1635" s="272" t="s">
        <v>1191</v>
      </c>
      <c r="D1635" s="281" t="s">
        <v>1098</v>
      </c>
      <c r="E1635" s="272" t="s">
        <v>1244</v>
      </c>
      <c r="F1635" s="155" t="str">
        <f>_xlfn.XLOOKUP(B1635,STUDIES!$A$3:$A$1063,STUDIES!$G$3:$G$1063,"Not Found!")</f>
        <v>A</v>
      </c>
      <c r="G1635" s="273" t="s">
        <v>147</v>
      </c>
      <c r="H1635" s="273">
        <v>16</v>
      </c>
      <c r="I1635" s="273">
        <v>281</v>
      </c>
      <c r="J1635" s="274">
        <v>149</v>
      </c>
    </row>
    <row r="1636" spans="1:10" ht="18" customHeight="1" x14ac:dyDescent="0.35">
      <c r="A1636" s="274">
        <f>MATCH(B1636,STUDIES!$A$3:$A$502,0)</f>
        <v>57</v>
      </c>
      <c r="B1636" s="272" t="s">
        <v>1191</v>
      </c>
      <c r="D1636" s="281" t="s">
        <v>1099</v>
      </c>
      <c r="E1636" s="272" t="s">
        <v>1244</v>
      </c>
      <c r="F1636" s="155" t="str">
        <f>_xlfn.XLOOKUP(B1636,STUDIES!$A$3:$A$1063,STUDIES!$G$3:$G$1063,"Not Found!")</f>
        <v>A</v>
      </c>
      <c r="G1636" s="273" t="s">
        <v>147</v>
      </c>
      <c r="H1636" s="273">
        <v>16</v>
      </c>
      <c r="I1636" s="273">
        <v>285</v>
      </c>
      <c r="J1636" s="274">
        <v>187</v>
      </c>
    </row>
    <row r="1637" spans="1:10" ht="18" customHeight="1" x14ac:dyDescent="0.35">
      <c r="A1637" s="274">
        <f>MATCH(B1637,STUDIES!$A$3:$A$502,0)</f>
        <v>57</v>
      </c>
      <c r="B1637" s="272" t="s">
        <v>1191</v>
      </c>
      <c r="D1637" s="281" t="s">
        <v>148</v>
      </c>
      <c r="E1637" s="272" t="s">
        <v>1244</v>
      </c>
      <c r="F1637" s="155" t="str">
        <f>_xlfn.XLOOKUP(B1637,STUDIES!$A$3:$A$1063,STUDIES!$G$3:$G$1063,"Not Found!")</f>
        <v>A</v>
      </c>
      <c r="G1637" s="273" t="s">
        <v>147</v>
      </c>
      <c r="H1637" s="273">
        <v>16</v>
      </c>
      <c r="I1637" s="273">
        <v>281</v>
      </c>
      <c r="J1637" s="274">
        <v>23</v>
      </c>
    </row>
    <row r="1638" spans="1:10" ht="18" customHeight="1" x14ac:dyDescent="0.35">
      <c r="A1638" s="274">
        <f>MATCH(B1638,STUDIES!$A$3:$A$502,0)</f>
        <v>57</v>
      </c>
      <c r="B1638" s="272" t="s">
        <v>1191</v>
      </c>
      <c r="D1638" s="281" t="s">
        <v>1098</v>
      </c>
      <c r="E1638" s="272" t="s">
        <v>1268</v>
      </c>
      <c r="F1638" s="155" t="str">
        <f>_xlfn.XLOOKUP(B1638,STUDIES!$A$3:$A$1063,STUDIES!$G$3:$G$1063,"Not Found!")</f>
        <v>A</v>
      </c>
      <c r="G1638" s="273" t="s">
        <v>147</v>
      </c>
      <c r="H1638" s="273">
        <v>16</v>
      </c>
      <c r="I1638" s="273">
        <v>281</v>
      </c>
      <c r="J1638" s="274">
        <v>135</v>
      </c>
    </row>
    <row r="1639" spans="1:10" ht="18" customHeight="1" x14ac:dyDescent="0.35">
      <c r="A1639" s="274">
        <f>MATCH(B1639,STUDIES!$A$3:$A$502,0)</f>
        <v>57</v>
      </c>
      <c r="B1639" s="272" t="s">
        <v>1191</v>
      </c>
      <c r="D1639" s="281" t="s">
        <v>1099</v>
      </c>
      <c r="E1639" s="272" t="s">
        <v>1268</v>
      </c>
      <c r="F1639" s="155" t="str">
        <f>_xlfn.XLOOKUP(B1639,STUDIES!$A$3:$A$1063,STUDIES!$G$3:$G$1063,"Not Found!")</f>
        <v>A</v>
      </c>
      <c r="G1639" s="273" t="s">
        <v>147</v>
      </c>
      <c r="H1639" s="273">
        <v>16</v>
      </c>
      <c r="I1639" s="273">
        <v>285</v>
      </c>
      <c r="J1639" s="274">
        <v>177</v>
      </c>
    </row>
    <row r="1640" spans="1:10" ht="18" customHeight="1" x14ac:dyDescent="0.35">
      <c r="A1640" s="274">
        <f>MATCH(B1640,STUDIES!$A$3:$A$502,0)</f>
        <v>57</v>
      </c>
      <c r="B1640" s="272" t="s">
        <v>1191</v>
      </c>
      <c r="D1640" s="281" t="s">
        <v>148</v>
      </c>
      <c r="E1640" s="272" t="s">
        <v>1268</v>
      </c>
      <c r="F1640" s="155" t="str">
        <f>_xlfn.XLOOKUP(B1640,STUDIES!$A$3:$A$1063,STUDIES!$G$3:$G$1063,"Not Found!")</f>
        <v>A</v>
      </c>
      <c r="G1640" s="273" t="s">
        <v>147</v>
      </c>
      <c r="H1640" s="273">
        <v>16</v>
      </c>
      <c r="I1640" s="273">
        <v>281</v>
      </c>
      <c r="J1640" s="274">
        <v>24</v>
      </c>
    </row>
    <row r="1641" spans="1:10" ht="18" customHeight="1" x14ac:dyDescent="0.35">
      <c r="A1641" s="274">
        <f>MATCH(B1641,STUDIES!$A$3:$A$502,0)</f>
        <v>58</v>
      </c>
      <c r="B1641" s="272" t="s">
        <v>1192</v>
      </c>
      <c r="D1641" s="281" t="s">
        <v>1098</v>
      </c>
      <c r="E1641" s="272" t="s">
        <v>1243</v>
      </c>
      <c r="F1641" s="155" t="str">
        <f>_xlfn.XLOOKUP(B1641,STUDIES!$A$3:$A$1063,STUDIES!$G$3:$G$1063,"Not Found!")</f>
        <v>A</v>
      </c>
      <c r="G1641" s="273" t="s">
        <v>147</v>
      </c>
      <c r="H1641" s="273">
        <v>16</v>
      </c>
      <c r="I1641" s="273">
        <v>276</v>
      </c>
      <c r="J1641" s="274">
        <v>166</v>
      </c>
    </row>
    <row r="1642" spans="1:10" ht="18" customHeight="1" x14ac:dyDescent="0.35">
      <c r="A1642" s="274">
        <f>MATCH(B1642,STUDIES!$A$3:$A$502,0)</f>
        <v>58</v>
      </c>
      <c r="B1642" s="272" t="s">
        <v>1192</v>
      </c>
      <c r="D1642" s="281" t="s">
        <v>1099</v>
      </c>
      <c r="E1642" s="272" t="s">
        <v>1243</v>
      </c>
      <c r="F1642" s="155" t="str">
        <f>_xlfn.XLOOKUP(B1642,STUDIES!$A$3:$A$1063,STUDIES!$G$3:$G$1063,"Not Found!")</f>
        <v>A</v>
      </c>
      <c r="G1642" s="273" t="s">
        <v>147</v>
      </c>
      <c r="H1642" s="273">
        <v>16</v>
      </c>
      <c r="I1642" s="273">
        <v>282</v>
      </c>
      <c r="J1642" s="274">
        <v>206</v>
      </c>
    </row>
    <row r="1643" spans="1:10" ht="18" customHeight="1" x14ac:dyDescent="0.35">
      <c r="A1643" s="274">
        <f>MATCH(B1643,STUDIES!$A$3:$A$502,0)</f>
        <v>58</v>
      </c>
      <c r="B1643" s="272" t="s">
        <v>1192</v>
      </c>
      <c r="D1643" s="281" t="s">
        <v>148</v>
      </c>
      <c r="E1643" s="272" t="s">
        <v>1243</v>
      </c>
      <c r="F1643" s="155" t="str">
        <f>_xlfn.XLOOKUP(B1643,STUDIES!$A$3:$A$1063,STUDIES!$G$3:$G$1063,"Not Found!")</f>
        <v>A</v>
      </c>
      <c r="G1643" s="273" t="s">
        <v>147</v>
      </c>
      <c r="H1643" s="273">
        <v>16</v>
      </c>
      <c r="I1643" s="273">
        <v>278</v>
      </c>
      <c r="J1643" s="274">
        <v>37</v>
      </c>
    </row>
    <row r="1644" spans="1:10" ht="18" customHeight="1" x14ac:dyDescent="0.35">
      <c r="A1644" s="274">
        <f>MATCH(B1644,STUDIES!$A$3:$A$502,0)</f>
        <v>58</v>
      </c>
      <c r="B1644" s="272" t="s">
        <v>1192</v>
      </c>
      <c r="D1644" s="281" t="s">
        <v>1098</v>
      </c>
      <c r="E1644" s="272" t="s">
        <v>1244</v>
      </c>
      <c r="F1644" s="155" t="str">
        <f>_xlfn.XLOOKUP(B1644,STUDIES!$A$3:$A$1063,STUDIES!$G$3:$G$1063,"Not Found!")</f>
        <v>A</v>
      </c>
      <c r="G1644" s="273" t="s">
        <v>147</v>
      </c>
      <c r="H1644" s="273">
        <v>16</v>
      </c>
      <c r="I1644" s="273">
        <v>276</v>
      </c>
      <c r="J1644" s="274">
        <v>117</v>
      </c>
    </row>
    <row r="1645" spans="1:10" ht="18" customHeight="1" x14ac:dyDescent="0.35">
      <c r="A1645" s="274">
        <f>MATCH(B1645,STUDIES!$A$3:$A$502,0)</f>
        <v>58</v>
      </c>
      <c r="B1645" s="272" t="s">
        <v>1192</v>
      </c>
      <c r="D1645" s="281" t="s">
        <v>1099</v>
      </c>
      <c r="E1645" s="272" t="s">
        <v>1244</v>
      </c>
      <c r="F1645" s="155" t="str">
        <f>_xlfn.XLOOKUP(B1645,STUDIES!$A$3:$A$1063,STUDIES!$G$3:$G$1063,"Not Found!")</f>
        <v>A</v>
      </c>
      <c r="G1645" s="273" t="s">
        <v>147</v>
      </c>
      <c r="H1645" s="273">
        <v>16</v>
      </c>
      <c r="I1645" s="273">
        <v>282</v>
      </c>
      <c r="J1645" s="274">
        <v>165</v>
      </c>
    </row>
    <row r="1646" spans="1:10" ht="18" customHeight="1" x14ac:dyDescent="0.35">
      <c r="A1646" s="274">
        <f>MATCH(B1646,STUDIES!$A$3:$A$502,0)</f>
        <v>58</v>
      </c>
      <c r="B1646" s="272" t="s">
        <v>1192</v>
      </c>
      <c r="D1646" s="281" t="s">
        <v>148</v>
      </c>
      <c r="E1646" s="272" t="s">
        <v>1244</v>
      </c>
      <c r="F1646" s="155" t="str">
        <f>_xlfn.XLOOKUP(B1646,STUDIES!$A$3:$A$1063,STUDIES!$G$3:$G$1063,"Not Found!")</f>
        <v>A</v>
      </c>
      <c r="G1646" s="273" t="s">
        <v>147</v>
      </c>
      <c r="H1646" s="273">
        <v>16</v>
      </c>
      <c r="I1646" s="273">
        <v>278</v>
      </c>
      <c r="J1646" s="274">
        <v>15</v>
      </c>
    </row>
    <row r="1647" spans="1:10" ht="18" customHeight="1" x14ac:dyDescent="0.35">
      <c r="A1647" s="274">
        <f>MATCH(B1647,STUDIES!$A$3:$A$502,0)</f>
        <v>58</v>
      </c>
      <c r="B1647" s="272" t="s">
        <v>1192</v>
      </c>
      <c r="D1647" s="281" t="s">
        <v>1098</v>
      </c>
      <c r="E1647" s="272" t="s">
        <v>1268</v>
      </c>
      <c r="F1647" s="155" t="str">
        <f>_xlfn.XLOOKUP(B1647,STUDIES!$A$3:$A$1063,STUDIES!$G$3:$G$1063,"Not Found!")</f>
        <v>A</v>
      </c>
      <c r="G1647" s="273" t="s">
        <v>147</v>
      </c>
      <c r="H1647" s="273">
        <v>16</v>
      </c>
      <c r="I1647" s="273">
        <v>276</v>
      </c>
      <c r="J1647" s="274">
        <v>107</v>
      </c>
    </row>
    <row r="1648" spans="1:10" ht="18" customHeight="1" x14ac:dyDescent="0.35">
      <c r="A1648" s="274">
        <f>MATCH(B1648,STUDIES!$A$3:$A$502,0)</f>
        <v>58</v>
      </c>
      <c r="B1648" s="272" t="s">
        <v>1192</v>
      </c>
      <c r="D1648" s="281" t="s">
        <v>1099</v>
      </c>
      <c r="E1648" s="272" t="s">
        <v>1268</v>
      </c>
      <c r="F1648" s="155" t="str">
        <f>_xlfn.XLOOKUP(B1648,STUDIES!$A$3:$A$1063,STUDIES!$G$3:$G$1063,"Not Found!")</f>
        <v>A</v>
      </c>
      <c r="G1648" s="273" t="s">
        <v>147</v>
      </c>
      <c r="H1648" s="273">
        <v>16</v>
      </c>
      <c r="I1648" s="273">
        <v>282</v>
      </c>
      <c r="J1648" s="274">
        <v>147</v>
      </c>
    </row>
    <row r="1649" spans="1:10" ht="18" customHeight="1" x14ac:dyDescent="0.35">
      <c r="A1649" s="274">
        <f>MATCH(B1649,STUDIES!$A$3:$A$502,0)</f>
        <v>58</v>
      </c>
      <c r="B1649" s="272" t="s">
        <v>1192</v>
      </c>
      <c r="D1649" s="281" t="s">
        <v>148</v>
      </c>
      <c r="E1649" s="272" t="s">
        <v>1268</v>
      </c>
      <c r="F1649" s="155" t="str">
        <f>_xlfn.XLOOKUP(B1649,STUDIES!$A$3:$A$1063,STUDIES!$G$3:$G$1063,"Not Found!")</f>
        <v>A</v>
      </c>
      <c r="G1649" s="273" t="s">
        <v>147</v>
      </c>
      <c r="H1649" s="273">
        <v>16</v>
      </c>
      <c r="I1649" s="273">
        <v>278</v>
      </c>
      <c r="J1649" s="274">
        <v>13</v>
      </c>
    </row>
    <row r="1650" spans="1:10" ht="18" customHeight="1" x14ac:dyDescent="0.35">
      <c r="A1650" s="274">
        <f>MATCH(B1650,STUDIES!$A$3:$A$502,0)</f>
        <v>59</v>
      </c>
      <c r="B1650" s="272" t="s">
        <v>1203</v>
      </c>
      <c r="D1650" s="281" t="s">
        <v>1098</v>
      </c>
      <c r="E1650" s="272" t="s">
        <v>1243</v>
      </c>
      <c r="F1650" s="155" t="str">
        <f>_xlfn.XLOOKUP(B1650,STUDIES!$A$3:$A$1063,STUDIES!$G$3:$G$1063,"Not Found!")</f>
        <v>A</v>
      </c>
      <c r="G1650" s="273" t="s">
        <v>147</v>
      </c>
      <c r="H1650" s="273">
        <v>16</v>
      </c>
      <c r="I1650" s="273">
        <v>300</v>
      </c>
      <c r="J1650" s="274">
        <v>194</v>
      </c>
    </row>
    <row r="1651" spans="1:10" ht="18" customHeight="1" x14ac:dyDescent="0.35">
      <c r="A1651" s="274">
        <f>MATCH(B1651,STUDIES!$A$3:$A$502,0)</f>
        <v>59</v>
      </c>
      <c r="B1651" s="272" t="s">
        <v>1203</v>
      </c>
      <c r="D1651" s="281" t="s">
        <v>1099</v>
      </c>
      <c r="E1651" s="272" t="s">
        <v>1243</v>
      </c>
      <c r="F1651" s="155" t="str">
        <f>_xlfn.XLOOKUP(B1651,STUDIES!$A$3:$A$1063,STUDIES!$G$3:$G$1063,"Not Found!")</f>
        <v>A</v>
      </c>
      <c r="G1651" s="273" t="s">
        <v>147</v>
      </c>
      <c r="H1651" s="273">
        <v>16</v>
      </c>
      <c r="I1651" s="273">
        <v>297</v>
      </c>
      <c r="J1651" s="274">
        <v>229</v>
      </c>
    </row>
    <row r="1652" spans="1:10" ht="18" customHeight="1" x14ac:dyDescent="0.35">
      <c r="A1652" s="274">
        <f>MATCH(B1652,STUDIES!$A$3:$A$502,0)</f>
        <v>59</v>
      </c>
      <c r="B1652" s="272" t="s">
        <v>1203</v>
      </c>
      <c r="D1652" s="281" t="s">
        <v>148</v>
      </c>
      <c r="E1652" s="272" t="s">
        <v>1243</v>
      </c>
      <c r="F1652" s="155" t="str">
        <f>_xlfn.XLOOKUP(B1652,STUDIES!$A$3:$A$1063,STUDIES!$G$3:$G$1063,"Not Found!")</f>
        <v>A</v>
      </c>
      <c r="G1652" s="273" t="s">
        <v>147</v>
      </c>
      <c r="H1652" s="273">
        <v>16</v>
      </c>
      <c r="I1652" s="273">
        <v>304</v>
      </c>
      <c r="J1652" s="274">
        <v>80</v>
      </c>
    </row>
    <row r="1653" spans="1:10" ht="18" customHeight="1" x14ac:dyDescent="0.35">
      <c r="A1653" s="274">
        <f>MATCH(B1653,STUDIES!$A$3:$A$502,0)</f>
        <v>59</v>
      </c>
      <c r="B1653" s="272" t="s">
        <v>1203</v>
      </c>
      <c r="D1653" s="281" t="s">
        <v>1098</v>
      </c>
      <c r="E1653" s="272" t="s">
        <v>1244</v>
      </c>
      <c r="F1653" s="155" t="str">
        <f>_xlfn.XLOOKUP(B1653,STUDIES!$A$3:$A$1063,STUDIES!$G$3:$G$1063,"Not Found!")</f>
        <v>A</v>
      </c>
      <c r="G1653" s="273" t="s">
        <v>147</v>
      </c>
      <c r="H1653" s="273">
        <v>16</v>
      </c>
      <c r="I1653" s="273">
        <v>300</v>
      </c>
      <c r="J1653" s="274">
        <v>128</v>
      </c>
    </row>
    <row r="1654" spans="1:10" ht="18" customHeight="1" x14ac:dyDescent="0.35">
      <c r="A1654" s="274">
        <f>MATCH(B1654,STUDIES!$A$3:$A$502,0)</f>
        <v>59</v>
      </c>
      <c r="B1654" s="272" t="s">
        <v>1203</v>
      </c>
      <c r="D1654" s="281" t="s">
        <v>1099</v>
      </c>
      <c r="E1654" s="272" t="s">
        <v>1244</v>
      </c>
      <c r="F1654" s="155" t="str">
        <f>_xlfn.XLOOKUP(B1654,STUDIES!$A$3:$A$1063,STUDIES!$G$3:$G$1063,"Not Found!")</f>
        <v>A</v>
      </c>
      <c r="G1654" s="273" t="s">
        <v>147</v>
      </c>
      <c r="H1654" s="273">
        <v>16</v>
      </c>
      <c r="I1654" s="273">
        <v>297</v>
      </c>
      <c r="J1654" s="274">
        <v>187</v>
      </c>
    </row>
    <row r="1655" spans="1:10" ht="18" customHeight="1" x14ac:dyDescent="0.35">
      <c r="A1655" s="274">
        <f>MATCH(B1655,STUDIES!$A$3:$A$502,0)</f>
        <v>59</v>
      </c>
      <c r="B1655" s="272" t="s">
        <v>1203</v>
      </c>
      <c r="D1655" s="281" t="s">
        <v>148</v>
      </c>
      <c r="E1655" s="272" t="s">
        <v>1244</v>
      </c>
      <c r="F1655" s="155" t="str">
        <f>_xlfn.XLOOKUP(B1655,STUDIES!$A$3:$A$1063,STUDIES!$G$3:$G$1063,"Not Found!")</f>
        <v>A</v>
      </c>
      <c r="G1655" s="273" t="s">
        <v>147</v>
      </c>
      <c r="H1655" s="273">
        <v>16</v>
      </c>
      <c r="I1655" s="273">
        <v>304</v>
      </c>
      <c r="J1655" s="274">
        <v>40</v>
      </c>
    </row>
    <row r="1656" spans="1:10" ht="18" customHeight="1" x14ac:dyDescent="0.35">
      <c r="A1656" s="274">
        <f>MATCH(B1656,STUDIES!$A$3:$A$502,0)</f>
        <v>59</v>
      </c>
      <c r="B1656" s="272" t="s">
        <v>1203</v>
      </c>
      <c r="D1656" s="281" t="s">
        <v>1098</v>
      </c>
      <c r="E1656" s="272" t="s">
        <v>1268</v>
      </c>
      <c r="F1656" s="155" t="str">
        <f>_xlfn.XLOOKUP(B1656,STUDIES!$A$3:$A$1063,STUDIES!$G$3:$G$1063,"Not Found!")</f>
        <v>A</v>
      </c>
      <c r="G1656" s="273" t="s">
        <v>147</v>
      </c>
      <c r="H1656" s="273">
        <v>16</v>
      </c>
      <c r="I1656" s="273">
        <v>300</v>
      </c>
      <c r="J1656" s="274">
        <v>119</v>
      </c>
    </row>
    <row r="1657" spans="1:10" ht="18" customHeight="1" x14ac:dyDescent="0.35">
      <c r="A1657" s="274">
        <f>MATCH(B1657,STUDIES!$A$3:$A$502,0)</f>
        <v>59</v>
      </c>
      <c r="B1657" s="272" t="s">
        <v>1203</v>
      </c>
      <c r="D1657" s="281" t="s">
        <v>1099</v>
      </c>
      <c r="E1657" s="272" t="s">
        <v>1268</v>
      </c>
      <c r="F1657" s="155" t="str">
        <f>_xlfn.XLOOKUP(B1657,STUDIES!$A$3:$A$1063,STUDIES!$G$3:$G$1063,"Not Found!")</f>
        <v>A</v>
      </c>
      <c r="G1657" s="273" t="s">
        <v>147</v>
      </c>
      <c r="H1657" s="273">
        <v>16</v>
      </c>
      <c r="I1657" s="273">
        <v>297</v>
      </c>
      <c r="J1657" s="274">
        <v>174</v>
      </c>
    </row>
    <row r="1658" spans="1:10" ht="18" customHeight="1" x14ac:dyDescent="0.35">
      <c r="A1658" s="274">
        <f>MATCH(B1658,STUDIES!$A$3:$A$502,0)</f>
        <v>59</v>
      </c>
      <c r="B1658" s="272" t="s">
        <v>1203</v>
      </c>
      <c r="D1658" s="281" t="s">
        <v>148</v>
      </c>
      <c r="E1658" s="272" t="s">
        <v>1268</v>
      </c>
      <c r="F1658" s="155" t="str">
        <f>_xlfn.XLOOKUP(B1658,STUDIES!$A$3:$A$1063,STUDIES!$G$3:$G$1063,"Not Found!")</f>
        <v>A</v>
      </c>
      <c r="G1658" s="273" t="s">
        <v>147</v>
      </c>
      <c r="H1658" s="273">
        <v>16</v>
      </c>
      <c r="I1658" s="273">
        <v>304</v>
      </c>
      <c r="J1658" s="274">
        <v>33</v>
      </c>
    </row>
    <row r="1659" spans="1:10" ht="18" customHeight="1" x14ac:dyDescent="0.35">
      <c r="A1659" s="274">
        <f>MATCH(B1659,STUDIES!$A$3:$A$502,0)</f>
        <v>60</v>
      </c>
      <c r="B1659" s="272" t="s">
        <v>1211</v>
      </c>
      <c r="D1659" s="281" t="s">
        <v>1096</v>
      </c>
      <c r="E1659" s="272" t="s">
        <v>1243</v>
      </c>
      <c r="F1659" s="155" t="str">
        <f>_xlfn.XLOOKUP(B1659,STUDIES!$A$3:$A$1063,STUDIES!$G$3:$G$1063,"Not Found!")</f>
        <v>A</v>
      </c>
      <c r="G1659" s="273" t="s">
        <v>147</v>
      </c>
      <c r="H1659" s="273">
        <v>16</v>
      </c>
      <c r="I1659" s="273">
        <v>106</v>
      </c>
      <c r="J1659" s="274">
        <v>52</v>
      </c>
    </row>
    <row r="1660" spans="1:10" ht="18" customHeight="1" x14ac:dyDescent="0.35">
      <c r="A1660" s="274">
        <f>MATCH(B1660,STUDIES!$A$3:$A$502,0)</f>
        <v>60</v>
      </c>
      <c r="B1660" s="272" t="s">
        <v>1211</v>
      </c>
      <c r="D1660" s="281" t="s">
        <v>148</v>
      </c>
      <c r="E1660" s="272" t="s">
        <v>1243</v>
      </c>
      <c r="F1660" s="155" t="str">
        <f>_xlfn.XLOOKUP(B1660,STUDIES!$A$3:$A$1063,STUDIES!$G$3:$G$1063,"Not Found!")</f>
        <v>A</v>
      </c>
      <c r="G1660" s="273" t="s">
        <v>147</v>
      </c>
      <c r="H1660" s="273">
        <v>16</v>
      </c>
      <c r="I1660" s="273">
        <v>108</v>
      </c>
      <c r="J1660" s="274">
        <v>39</v>
      </c>
    </row>
    <row r="1661" spans="1:10" ht="18" customHeight="1" x14ac:dyDescent="0.35">
      <c r="A1661" s="274">
        <f>MATCH(B1661,STUDIES!$A$3:$A$502,0)</f>
        <v>60</v>
      </c>
      <c r="B1661" s="272" t="s">
        <v>1211</v>
      </c>
      <c r="D1661" s="281" t="s">
        <v>1096</v>
      </c>
      <c r="E1661" s="272" t="s">
        <v>1244</v>
      </c>
      <c r="F1661" s="155" t="str">
        <f>_xlfn.XLOOKUP(B1661,STUDIES!$A$3:$A$1063,STUDIES!$G$3:$G$1063,"Not Found!")</f>
        <v>A</v>
      </c>
      <c r="G1661" s="273" t="s">
        <v>147</v>
      </c>
      <c r="H1661" s="273">
        <v>16</v>
      </c>
      <c r="I1661" s="273">
        <v>106</v>
      </c>
      <c r="J1661" s="274">
        <v>33</v>
      </c>
    </row>
    <row r="1662" spans="1:10" ht="18" customHeight="1" x14ac:dyDescent="0.35">
      <c r="A1662" s="274">
        <f>MATCH(B1662,STUDIES!$A$3:$A$502,0)</f>
        <v>60</v>
      </c>
      <c r="B1662" s="272" t="s">
        <v>1211</v>
      </c>
      <c r="D1662" s="281" t="s">
        <v>148</v>
      </c>
      <c r="E1662" s="272" t="s">
        <v>1244</v>
      </c>
      <c r="F1662" s="155" t="str">
        <f>_xlfn.XLOOKUP(B1662,STUDIES!$A$3:$A$1063,STUDIES!$G$3:$G$1063,"Not Found!")</f>
        <v>A</v>
      </c>
      <c r="G1662" s="273" t="s">
        <v>147</v>
      </c>
      <c r="H1662" s="273">
        <v>16</v>
      </c>
      <c r="I1662" s="273">
        <v>108</v>
      </c>
      <c r="J1662" s="274">
        <v>21</v>
      </c>
    </row>
    <row r="1663" spans="1:10" ht="18" customHeight="1" x14ac:dyDescent="0.35">
      <c r="A1663" s="274">
        <f>MATCH(B1663,STUDIES!$A$3:$A$502,0)</f>
        <v>75</v>
      </c>
      <c r="B1663" s="272" t="s">
        <v>1537</v>
      </c>
      <c r="D1663" s="281" t="s">
        <v>1096</v>
      </c>
      <c r="E1663" s="272" t="s">
        <v>1268</v>
      </c>
      <c r="F1663" s="155" t="str">
        <f>_xlfn.XLOOKUP(B1663,STUDIES!$A$3:$A$1063,STUDIES!$G$3:$G$1063,"Not Found!")</f>
        <v>A</v>
      </c>
      <c r="G1663" s="273" t="s">
        <v>147</v>
      </c>
      <c r="H1663" s="273">
        <v>16</v>
      </c>
      <c r="I1663" s="273">
        <v>53</v>
      </c>
      <c r="J1663" s="274">
        <v>17</v>
      </c>
    </row>
    <row r="1664" spans="1:10" ht="18" customHeight="1" x14ac:dyDescent="0.35">
      <c r="A1664" s="274">
        <f>MATCH(B1664,STUDIES!$A$3:$A$502,0)</f>
        <v>75</v>
      </c>
      <c r="B1664" s="272" t="s">
        <v>1537</v>
      </c>
      <c r="D1664" s="281" t="s">
        <v>148</v>
      </c>
      <c r="E1664" s="272" t="s">
        <v>1268</v>
      </c>
      <c r="F1664" s="155" t="str">
        <f>_xlfn.XLOOKUP(B1664,STUDIES!$A$3:$A$1063,STUDIES!$G$3:$G$1063,"Not Found!")</f>
        <v>A</v>
      </c>
      <c r="G1664" s="273" t="s">
        <v>147</v>
      </c>
      <c r="H1664" s="273">
        <v>16</v>
      </c>
      <c r="I1664" s="273">
        <v>53</v>
      </c>
      <c r="J1664" s="274">
        <v>14</v>
      </c>
    </row>
    <row r="1665" spans="1:37" ht="18" customHeight="1" x14ac:dyDescent="0.35">
      <c r="A1665" s="274">
        <f>MATCH(B1665,STUDIES!$A$3:$A$502,0)</f>
        <v>75</v>
      </c>
      <c r="B1665" s="272" t="s">
        <v>1537</v>
      </c>
      <c r="D1665" s="281" t="s">
        <v>1096</v>
      </c>
      <c r="E1665" s="272" t="s">
        <v>1243</v>
      </c>
      <c r="F1665" s="155" t="str">
        <f>_xlfn.XLOOKUP(B1665,STUDIES!$A$3:$A$1063,STUDIES!$G$3:$G$1063,"Not Found!")</f>
        <v>A</v>
      </c>
      <c r="G1665" s="273" t="s">
        <v>147</v>
      </c>
      <c r="H1665" s="273">
        <v>16</v>
      </c>
      <c r="I1665" s="273">
        <v>53</v>
      </c>
      <c r="J1665" s="274">
        <v>38</v>
      </c>
    </row>
    <row r="1666" spans="1:37" ht="18" customHeight="1" x14ac:dyDescent="0.35">
      <c r="A1666" s="274">
        <f>MATCH(B1666,STUDIES!$A$3:$A$502,0)</f>
        <v>75</v>
      </c>
      <c r="B1666" s="272" t="s">
        <v>1537</v>
      </c>
      <c r="D1666" s="281" t="s">
        <v>148</v>
      </c>
      <c r="E1666" s="272" t="s">
        <v>1243</v>
      </c>
      <c r="F1666" s="155" t="str">
        <f>_xlfn.XLOOKUP(B1666,STUDIES!$A$3:$A$1063,STUDIES!$G$3:$G$1063,"Not Found!")</f>
        <v>A</v>
      </c>
      <c r="G1666" s="273" t="s">
        <v>147</v>
      </c>
      <c r="H1666" s="273">
        <v>16</v>
      </c>
      <c r="I1666" s="273">
        <v>53</v>
      </c>
      <c r="J1666" s="274">
        <v>30</v>
      </c>
    </row>
    <row r="1667" spans="1:37" ht="18" customHeight="1" x14ac:dyDescent="0.35">
      <c r="A1667" s="274">
        <f>MATCH(B1667,STUDIES!$A$3:$A$502,0)</f>
        <v>75</v>
      </c>
      <c r="B1667" s="272" t="s">
        <v>1537</v>
      </c>
      <c r="D1667" s="281" t="s">
        <v>1096</v>
      </c>
      <c r="E1667" s="272" t="s">
        <v>154</v>
      </c>
      <c r="F1667" s="155" t="str">
        <f>_xlfn.XLOOKUP(B1667,STUDIES!$A$3:$A$1063,STUDIES!$G$3:$G$1063,"Not Found!")</f>
        <v>A</v>
      </c>
      <c r="G1667" s="273" t="s">
        <v>147</v>
      </c>
      <c r="H1667" s="273">
        <v>16</v>
      </c>
      <c r="I1667" s="273">
        <v>53</v>
      </c>
      <c r="Q1667" s="275"/>
      <c r="R1667" s="276">
        <v>-10</v>
      </c>
      <c r="S1667" s="268">
        <v>0.56000000000000005</v>
      </c>
    </row>
    <row r="1668" spans="1:37" ht="18" customHeight="1" x14ac:dyDescent="0.35">
      <c r="A1668" s="274">
        <f>MATCH(B1668,STUDIES!$A$3:$A$502,0)</f>
        <v>75</v>
      </c>
      <c r="B1668" s="272" t="s">
        <v>1537</v>
      </c>
      <c r="D1668" s="281" t="s">
        <v>148</v>
      </c>
      <c r="E1668" s="272" t="s">
        <v>154</v>
      </c>
      <c r="F1668" s="155" t="str">
        <f>_xlfn.XLOOKUP(B1668,STUDIES!$A$3:$A$1063,STUDIES!$G$3:$G$1063,"Not Found!")</f>
        <v>A</v>
      </c>
      <c r="G1668" s="273" t="s">
        <v>147</v>
      </c>
      <c r="H1668" s="273">
        <v>16</v>
      </c>
      <c r="I1668" s="273">
        <v>53</v>
      </c>
      <c r="Q1668" s="275"/>
      <c r="R1668" s="276">
        <v>-8.8000000000000007</v>
      </c>
      <c r="S1668" s="268">
        <v>0.56000000000000005</v>
      </c>
    </row>
    <row r="1669" spans="1:37" ht="18" customHeight="1" x14ac:dyDescent="0.35">
      <c r="A1669" s="274">
        <f>MATCH(B1669,STUDIES!$A$3:$A$502,0)</f>
        <v>75</v>
      </c>
      <c r="B1669" s="272" t="s">
        <v>1537</v>
      </c>
      <c r="D1669" s="281" t="s">
        <v>1096</v>
      </c>
      <c r="E1669" s="272" t="s">
        <v>1244</v>
      </c>
      <c r="F1669" s="155" t="str">
        <f>_xlfn.XLOOKUP(B1669,STUDIES!$A$3:$A$1063,STUDIES!$G$3:$G$1063,"Not Found!")</f>
        <v>A</v>
      </c>
      <c r="G1669" s="273" t="s">
        <v>147</v>
      </c>
      <c r="H1669" s="273">
        <v>16</v>
      </c>
      <c r="I1669" s="273">
        <v>53</v>
      </c>
      <c r="J1669" s="274">
        <v>24</v>
      </c>
    </row>
    <row r="1670" spans="1:37" ht="18" customHeight="1" x14ac:dyDescent="0.35">
      <c r="A1670" s="274">
        <f>MATCH(B1670,STUDIES!$A$3:$A$502,0)</f>
        <v>75</v>
      </c>
      <c r="B1670" s="272" t="s">
        <v>1537</v>
      </c>
      <c r="D1670" s="281" t="s">
        <v>148</v>
      </c>
      <c r="E1670" s="272" t="s">
        <v>1244</v>
      </c>
      <c r="F1670" s="155" t="str">
        <f>_xlfn.XLOOKUP(B1670,STUDIES!$A$3:$A$1063,STUDIES!$G$3:$G$1063,"Not Found!")</f>
        <v>A</v>
      </c>
      <c r="G1670" s="273" t="s">
        <v>147</v>
      </c>
      <c r="H1670" s="273">
        <v>16</v>
      </c>
      <c r="I1670" s="273">
        <v>53</v>
      </c>
      <c r="J1670" s="274">
        <v>16</v>
      </c>
    </row>
    <row r="1671" spans="1:37" ht="18" customHeight="1" x14ac:dyDescent="0.35">
      <c r="A1671" s="274">
        <f>MATCH(B1671,STUDIES!$A$3:$A$502,0)</f>
        <v>75</v>
      </c>
      <c r="B1671" s="272" t="s">
        <v>1537</v>
      </c>
      <c r="D1671" s="281" t="s">
        <v>1096</v>
      </c>
      <c r="E1671" s="272" t="s">
        <v>1258</v>
      </c>
      <c r="F1671" s="155" t="str">
        <f>_xlfn.XLOOKUP(B1671,STUDIES!$A$3:$A$1063,STUDIES!$G$3:$G$1063,"Not Found!")</f>
        <v>A</v>
      </c>
      <c r="G1671" s="273" t="s">
        <v>147</v>
      </c>
      <c r="H1671" s="273">
        <v>16</v>
      </c>
      <c r="I1671" s="273">
        <v>53</v>
      </c>
      <c r="J1671" s="274">
        <v>45</v>
      </c>
    </row>
    <row r="1672" spans="1:37" ht="18" customHeight="1" x14ac:dyDescent="0.35">
      <c r="A1672" s="274">
        <f>MATCH(B1672,STUDIES!$A$3:$A$502,0)</f>
        <v>75</v>
      </c>
      <c r="B1672" s="272" t="s">
        <v>1537</v>
      </c>
      <c r="D1672" s="281" t="s">
        <v>148</v>
      </c>
      <c r="E1672" s="272" t="s">
        <v>1258</v>
      </c>
      <c r="F1672" s="155" t="str">
        <f>_xlfn.XLOOKUP(B1672,STUDIES!$A$3:$A$1063,STUDIES!$G$3:$G$1063,"Not Found!")</f>
        <v>A</v>
      </c>
      <c r="G1672" s="273" t="s">
        <v>147</v>
      </c>
      <c r="H1672" s="273">
        <v>16</v>
      </c>
      <c r="I1672" s="273">
        <v>53</v>
      </c>
      <c r="J1672" s="274">
        <v>42</v>
      </c>
    </row>
    <row r="1673" spans="1:37" ht="18" customHeight="1" x14ac:dyDescent="0.35">
      <c r="A1673" s="274">
        <f>MATCH(B1673,STUDIES!$A$3:$A$502,0)</f>
        <v>75</v>
      </c>
      <c r="B1673" s="272" t="s">
        <v>1537</v>
      </c>
      <c r="D1673" s="281" t="s">
        <v>1096</v>
      </c>
      <c r="E1673" s="272" t="s">
        <v>151</v>
      </c>
      <c r="F1673" s="155" t="str">
        <f>_xlfn.XLOOKUP(B1673,STUDIES!$A$3:$A$1063,STUDIES!$G$3:$G$1063,"Not Found!")</f>
        <v>A</v>
      </c>
      <c r="G1673" s="273" t="s">
        <v>147</v>
      </c>
      <c r="H1673" s="273">
        <v>16</v>
      </c>
      <c r="I1673" s="273">
        <v>53</v>
      </c>
      <c r="K1673" s="268">
        <v>37.119999999999997</v>
      </c>
      <c r="M1673" s="268">
        <v>15.71</v>
      </c>
      <c r="AJ1673" s="276">
        <v>-77.8</v>
      </c>
      <c r="AK1673" s="268">
        <v>3.7</v>
      </c>
    </row>
    <row r="1674" spans="1:37" ht="18" customHeight="1" x14ac:dyDescent="0.35">
      <c r="A1674" s="274">
        <f>MATCH(B1674,STUDIES!$A$3:$A$502,0)</f>
        <v>75</v>
      </c>
      <c r="B1674" s="272" t="s">
        <v>1537</v>
      </c>
      <c r="D1674" s="281" t="s">
        <v>148</v>
      </c>
      <c r="E1674" s="272" t="s">
        <v>151</v>
      </c>
      <c r="F1674" s="155" t="str">
        <f>_xlfn.XLOOKUP(B1674,STUDIES!$A$3:$A$1063,STUDIES!$G$3:$G$1063,"Not Found!")</f>
        <v>A</v>
      </c>
      <c r="G1674" s="273" t="s">
        <v>147</v>
      </c>
      <c r="H1674" s="273">
        <v>16</v>
      </c>
      <c r="I1674" s="273">
        <v>49</v>
      </c>
      <c r="K1674" s="268">
        <v>32.299999999999997</v>
      </c>
      <c r="M1674" s="268">
        <v>12.32</v>
      </c>
      <c r="AJ1674" s="276">
        <v>-73.5</v>
      </c>
      <c r="AK1674" s="268">
        <v>3.76</v>
      </c>
    </row>
    <row r="1675" spans="1:37" ht="18" customHeight="1" x14ac:dyDescent="0.35">
      <c r="A1675" s="274">
        <f>MATCH(B1675,STUDIES!$A$3:$A$502,0)</f>
        <v>75</v>
      </c>
      <c r="B1675" s="272" t="s">
        <v>1537</v>
      </c>
      <c r="D1675" s="281" t="s">
        <v>1096</v>
      </c>
      <c r="E1675" s="272" t="s">
        <v>695</v>
      </c>
      <c r="F1675" s="155" t="str">
        <f>_xlfn.XLOOKUP(B1675,STUDIES!$A$3:$A$1063,STUDIES!$G$3:$G$1063,"Not Found!")</f>
        <v>A</v>
      </c>
      <c r="G1675" s="273" t="s">
        <v>147</v>
      </c>
      <c r="H1675" s="273">
        <v>16</v>
      </c>
      <c r="I1675" s="273">
        <v>53</v>
      </c>
      <c r="R1675" s="283">
        <v>-4.5999999999999996</v>
      </c>
      <c r="S1675" s="268">
        <v>0.26</v>
      </c>
    </row>
    <row r="1676" spans="1:37" ht="18" customHeight="1" x14ac:dyDescent="0.35">
      <c r="A1676" s="274">
        <f>MATCH(B1676,STUDIES!$A$3:$A$502,0)</f>
        <v>75</v>
      </c>
      <c r="B1676" s="272" t="s">
        <v>1537</v>
      </c>
      <c r="D1676" s="281" t="s">
        <v>148</v>
      </c>
      <c r="E1676" s="272" t="s">
        <v>695</v>
      </c>
      <c r="F1676" s="155" t="str">
        <f>_xlfn.XLOOKUP(B1676,STUDIES!$A$3:$A$1063,STUDIES!$G$3:$G$1063,"Not Found!")</f>
        <v>A</v>
      </c>
      <c r="G1676" s="273" t="s">
        <v>147</v>
      </c>
      <c r="H1676" s="273">
        <v>16</v>
      </c>
      <c r="I1676" s="273">
        <v>49</v>
      </c>
      <c r="R1676" s="283">
        <v>-4.5999999999999996</v>
      </c>
      <c r="S1676" s="268">
        <v>0.27</v>
      </c>
    </row>
    <row r="1677" spans="1:37" ht="18" customHeight="1" x14ac:dyDescent="0.35">
      <c r="A1677" s="274">
        <f>MATCH(B1677,STUDIES!$A$3:$A$502,0)</f>
        <v>75</v>
      </c>
      <c r="B1677" s="272" t="s">
        <v>1537</v>
      </c>
      <c r="D1677" s="281" t="s">
        <v>1096</v>
      </c>
      <c r="E1677" s="272" t="s">
        <v>153</v>
      </c>
      <c r="F1677" s="155" t="str">
        <f>_xlfn.XLOOKUP(B1677,STUDIES!$A$3:$A$1063,STUDIES!$G$3:$G$1063,"Not Found!")</f>
        <v>A</v>
      </c>
      <c r="G1677" s="273" t="s">
        <v>147</v>
      </c>
      <c r="H1677" s="273">
        <v>16</v>
      </c>
      <c r="I1677" s="273">
        <v>53</v>
      </c>
      <c r="R1677" s="276">
        <v>-14.4</v>
      </c>
      <c r="S1677" s="268">
        <v>0.82</v>
      </c>
    </row>
    <row r="1678" spans="1:37" ht="18" customHeight="1" x14ac:dyDescent="0.35">
      <c r="A1678" s="274">
        <f>MATCH(B1678,STUDIES!$A$3:$A$502,0)</f>
        <v>75</v>
      </c>
      <c r="B1678" s="272" t="s">
        <v>1537</v>
      </c>
      <c r="D1678" s="281" t="s">
        <v>148</v>
      </c>
      <c r="E1678" s="272" t="s">
        <v>153</v>
      </c>
      <c r="F1678" s="155" t="str">
        <f>_xlfn.XLOOKUP(B1678,STUDIES!$A$3:$A$1063,STUDIES!$G$3:$G$1063,"Not Found!")</f>
        <v>A</v>
      </c>
      <c r="G1678" s="273" t="s">
        <v>147</v>
      </c>
      <c r="H1678" s="273">
        <v>16</v>
      </c>
      <c r="I1678" s="273">
        <v>49</v>
      </c>
      <c r="R1678" s="276">
        <v>-11.2</v>
      </c>
      <c r="S1678" s="268">
        <v>0.83</v>
      </c>
    </row>
    <row r="1679" spans="1:37" ht="18" customHeight="1" x14ac:dyDescent="0.35">
      <c r="A1679" s="274">
        <f>MATCH(B1679,STUDIES!$A$3:$A$502,0)</f>
        <v>75</v>
      </c>
      <c r="B1679" s="272" t="s">
        <v>1537</v>
      </c>
      <c r="D1679" s="281" t="s">
        <v>1096</v>
      </c>
      <c r="E1679" s="272" t="s">
        <v>1163</v>
      </c>
      <c r="F1679" s="155" t="str">
        <f>_xlfn.XLOOKUP(B1679,STUDIES!$A$3:$A$1063,STUDIES!$G$3:$G$1063,"Not Found!")</f>
        <v>A</v>
      </c>
      <c r="G1679" s="273" t="s">
        <v>147</v>
      </c>
      <c r="H1679" s="273">
        <v>16</v>
      </c>
      <c r="I1679" s="273">
        <v>53</v>
      </c>
      <c r="J1679" s="274">
        <v>0</v>
      </c>
    </row>
    <row r="1680" spans="1:37" ht="18" customHeight="1" x14ac:dyDescent="0.35">
      <c r="A1680" s="274">
        <f>MATCH(B1680,STUDIES!$A$3:$A$502,0)</f>
        <v>75</v>
      </c>
      <c r="B1680" s="272" t="s">
        <v>1537</v>
      </c>
      <c r="D1680" s="281" t="s">
        <v>148</v>
      </c>
      <c r="E1680" s="272" t="s">
        <v>1163</v>
      </c>
      <c r="F1680" s="155" t="str">
        <f>_xlfn.XLOOKUP(B1680,STUDIES!$A$3:$A$1063,STUDIES!$G$3:$G$1063,"Not Found!")</f>
        <v>A</v>
      </c>
      <c r="G1680" s="273" t="s">
        <v>147</v>
      </c>
      <c r="H1680" s="273">
        <v>16</v>
      </c>
      <c r="I1680" s="273">
        <v>53</v>
      </c>
      <c r="J1680" s="274">
        <v>0</v>
      </c>
      <c r="K1680" s="432"/>
    </row>
    <row r="1681" spans="1:11" ht="18" customHeight="1" x14ac:dyDescent="0.35">
      <c r="A1681" s="274">
        <f>MATCH(B1681,STUDIES!$A$3:$A$502,0)</f>
        <v>76</v>
      </c>
      <c r="B1681" s="272" t="s">
        <v>1658</v>
      </c>
      <c r="D1681" s="232" t="s">
        <v>1623</v>
      </c>
      <c r="E1681" s="272" t="s">
        <v>1243</v>
      </c>
      <c r="F1681" s="155" t="str">
        <f>_xlfn.XLOOKUP(B1681,STUDIES!$A$3:$A$1063,STUDIES!$G$3:$G$1063,"Not Found!")</f>
        <v>A</v>
      </c>
      <c r="G1681" s="273" t="s">
        <v>147</v>
      </c>
      <c r="H1681" s="273">
        <v>12</v>
      </c>
      <c r="I1681" s="273">
        <v>47</v>
      </c>
      <c r="J1681" s="274">
        <v>13.019000000000002</v>
      </c>
    </row>
    <row r="1682" spans="1:11" ht="18" customHeight="1" x14ac:dyDescent="0.35">
      <c r="A1682" s="274">
        <f>MATCH(B1682,STUDIES!$A$3:$A$502,0)</f>
        <v>76</v>
      </c>
      <c r="B1682" s="272" t="s">
        <v>1658</v>
      </c>
      <c r="D1682" s="232" t="s">
        <v>1624</v>
      </c>
      <c r="E1682" s="272" t="s">
        <v>1243</v>
      </c>
      <c r="F1682" s="155" t="str">
        <f>_xlfn.XLOOKUP(B1682,STUDIES!$A$3:$A$1063,STUDIES!$G$3:$G$1063,"Not Found!")</f>
        <v>A</v>
      </c>
      <c r="G1682" s="273" t="s">
        <v>147</v>
      </c>
      <c r="H1682" s="273">
        <v>12</v>
      </c>
      <c r="I1682" s="273">
        <v>47</v>
      </c>
      <c r="J1682" s="274">
        <v>18.001000000000001</v>
      </c>
      <c r="K1682" s="432"/>
    </row>
    <row r="1683" spans="1:11" ht="18" customHeight="1" x14ac:dyDescent="0.35">
      <c r="A1683" s="274">
        <f>MATCH(B1683,STUDIES!$A$3:$A$502,0)</f>
        <v>76</v>
      </c>
      <c r="B1683" s="272" t="s">
        <v>1658</v>
      </c>
      <c r="D1683" s="232" t="s">
        <v>148</v>
      </c>
      <c r="E1683" s="272" t="s">
        <v>1243</v>
      </c>
      <c r="F1683" s="155" t="str">
        <f>_xlfn.XLOOKUP(B1683,STUDIES!$A$3:$A$1063,STUDIES!$G$3:$G$1063,"Not Found!")</f>
        <v>A</v>
      </c>
      <c r="G1683" s="273" t="s">
        <v>147</v>
      </c>
      <c r="H1683" s="273">
        <v>12</v>
      </c>
      <c r="I1683" s="273">
        <v>46</v>
      </c>
      <c r="J1683" s="274">
        <v>12.006</v>
      </c>
    </row>
    <row r="1684" spans="1:11" ht="18" customHeight="1" x14ac:dyDescent="0.35">
      <c r="A1684" s="274">
        <f>MATCH(B1684,STUDIES!$A$3:$A$502,0)</f>
        <v>76</v>
      </c>
      <c r="B1684" s="272" t="s">
        <v>1658</v>
      </c>
      <c r="D1684" s="232" t="s">
        <v>1623</v>
      </c>
      <c r="E1684" s="272" t="s">
        <v>1268</v>
      </c>
      <c r="F1684" s="155" t="str">
        <f>_xlfn.XLOOKUP(B1684,STUDIES!$A$3:$A$1063,STUDIES!$G$3:$G$1063,"Not Found!")</f>
        <v>A</v>
      </c>
      <c r="G1684" s="273" t="s">
        <v>147</v>
      </c>
      <c r="H1684" s="273">
        <v>12</v>
      </c>
      <c r="I1684" s="273">
        <v>47</v>
      </c>
      <c r="J1684" s="274">
        <v>7.0030000000000001</v>
      </c>
    </row>
    <row r="1685" spans="1:11" ht="18" customHeight="1" x14ac:dyDescent="0.35">
      <c r="A1685" s="274">
        <f>MATCH(B1685,STUDIES!$A$3:$A$502,0)</f>
        <v>76</v>
      </c>
      <c r="B1685" s="272" t="s">
        <v>1658</v>
      </c>
      <c r="D1685" s="232" t="s">
        <v>1624</v>
      </c>
      <c r="E1685" s="272" t="s">
        <v>1268</v>
      </c>
      <c r="F1685" s="155" t="str">
        <f>_xlfn.XLOOKUP(B1685,STUDIES!$A$3:$A$1063,STUDIES!$G$3:$G$1063,"Not Found!")</f>
        <v>A</v>
      </c>
      <c r="G1685" s="273" t="s">
        <v>147</v>
      </c>
      <c r="H1685" s="273">
        <v>12</v>
      </c>
      <c r="I1685" s="273">
        <v>47</v>
      </c>
      <c r="J1685" s="274">
        <v>14.006</v>
      </c>
    </row>
    <row r="1686" spans="1:11" ht="18" customHeight="1" x14ac:dyDescent="0.35">
      <c r="A1686" s="274">
        <f>MATCH(B1686,STUDIES!$A$3:$A$502,0)</f>
        <v>76</v>
      </c>
      <c r="B1686" s="272" t="s">
        <v>1658</v>
      </c>
      <c r="D1686" s="232" t="s">
        <v>148</v>
      </c>
      <c r="E1686" s="272" t="s">
        <v>1268</v>
      </c>
      <c r="F1686" s="155" t="str">
        <f>_xlfn.XLOOKUP(B1686,STUDIES!$A$3:$A$1063,STUDIES!$G$3:$G$1063,"Not Found!")</f>
        <v>A</v>
      </c>
      <c r="G1686" s="273" t="s">
        <v>147</v>
      </c>
      <c r="H1686" s="273">
        <v>12</v>
      </c>
      <c r="I1686" s="273">
        <v>46</v>
      </c>
      <c r="J1686" s="274">
        <v>5.98</v>
      </c>
    </row>
    <row r="1687" spans="1:11" ht="18" customHeight="1" x14ac:dyDescent="0.35">
      <c r="A1687" s="274">
        <f>MATCH(B1687,STUDIES!$A$3:$A$502,0)</f>
        <v>76</v>
      </c>
      <c r="B1687" s="272" t="s">
        <v>1658</v>
      </c>
      <c r="D1687" s="232" t="s">
        <v>1623</v>
      </c>
      <c r="E1687" s="272" t="s">
        <v>1258</v>
      </c>
      <c r="F1687" s="155" t="str">
        <f>_xlfn.XLOOKUP(B1687,STUDIES!$A$3:$A$1063,STUDIES!$G$3:$G$1063,"Not Found!")</f>
        <v>A</v>
      </c>
      <c r="G1687" s="273" t="s">
        <v>147</v>
      </c>
      <c r="H1687" s="273">
        <v>12</v>
      </c>
      <c r="I1687" s="273">
        <v>47</v>
      </c>
      <c r="J1687" s="274">
        <f>0.617*47</f>
        <v>28.998999999999999</v>
      </c>
    </row>
    <row r="1688" spans="1:11" ht="18" customHeight="1" x14ac:dyDescent="0.35">
      <c r="A1688" s="274">
        <f>MATCH(B1688,STUDIES!$A$3:$A$502,0)</f>
        <v>76</v>
      </c>
      <c r="B1688" s="272" t="s">
        <v>1658</v>
      </c>
      <c r="D1688" s="232" t="s">
        <v>1624</v>
      </c>
      <c r="E1688" s="272" t="s">
        <v>1258</v>
      </c>
      <c r="F1688" s="155" t="str">
        <f>_xlfn.XLOOKUP(B1688,STUDIES!$A$3:$A$1063,STUDIES!$G$3:$G$1063,"Not Found!")</f>
        <v>A</v>
      </c>
      <c r="G1688" s="273" t="s">
        <v>147</v>
      </c>
      <c r="H1688" s="273">
        <v>12</v>
      </c>
      <c r="I1688" s="273">
        <v>47</v>
      </c>
      <c r="J1688" s="274">
        <f>0.66*47</f>
        <v>31.020000000000003</v>
      </c>
    </row>
    <row r="1689" spans="1:11" ht="18" customHeight="1" x14ac:dyDescent="0.35">
      <c r="A1689" s="274">
        <f>MATCH(B1689,STUDIES!$A$3:$A$502,0)</f>
        <v>76</v>
      </c>
      <c r="B1689" s="272" t="s">
        <v>1658</v>
      </c>
      <c r="D1689" s="232" t="s">
        <v>148</v>
      </c>
      <c r="E1689" s="272" t="s">
        <v>1258</v>
      </c>
      <c r="F1689" s="155" t="str">
        <f>_xlfn.XLOOKUP(B1689,STUDIES!$A$3:$A$1063,STUDIES!$G$3:$G$1063,"Not Found!")</f>
        <v>A</v>
      </c>
      <c r="G1689" s="273" t="s">
        <v>147</v>
      </c>
      <c r="H1689" s="273">
        <v>12</v>
      </c>
      <c r="I1689" s="273">
        <v>46</v>
      </c>
      <c r="J1689" s="274">
        <f>0.522*46</f>
        <v>24.012</v>
      </c>
    </row>
    <row r="1690" spans="1:11" ht="18" customHeight="1" x14ac:dyDescent="0.35">
      <c r="A1690" s="274">
        <f>MATCH(B1690,STUDIES!$A$3:$A$502,0)</f>
        <v>76</v>
      </c>
      <c r="B1690" s="272" t="s">
        <v>1658</v>
      </c>
      <c r="D1690" s="232" t="s">
        <v>1623</v>
      </c>
      <c r="E1690" s="272" t="s">
        <v>1244</v>
      </c>
      <c r="F1690" s="155" t="str">
        <f>_xlfn.XLOOKUP(B1690,STUDIES!$A$3:$A$1063,STUDIES!$G$3:$G$1063,"Not Found!")</f>
        <v>A</v>
      </c>
      <c r="G1690" s="273" t="s">
        <v>147</v>
      </c>
      <c r="H1690" s="273">
        <v>12</v>
      </c>
      <c r="I1690" s="273">
        <v>47</v>
      </c>
      <c r="J1690" s="274">
        <f>0.191*47</f>
        <v>8.9770000000000003</v>
      </c>
    </row>
    <row r="1691" spans="1:11" ht="18" customHeight="1" x14ac:dyDescent="0.35">
      <c r="A1691" s="274">
        <f>MATCH(B1691,STUDIES!$A$3:$A$502,0)</f>
        <v>76</v>
      </c>
      <c r="B1691" s="272" t="s">
        <v>1658</v>
      </c>
      <c r="D1691" s="232" t="s">
        <v>1624</v>
      </c>
      <c r="E1691" s="272" t="s">
        <v>1244</v>
      </c>
      <c r="F1691" s="155" t="str">
        <f>_xlfn.XLOOKUP(B1691,STUDIES!$A$3:$A$1063,STUDIES!$G$3:$G$1063,"Not Found!")</f>
        <v>A</v>
      </c>
      <c r="G1691" s="273" t="s">
        <v>147</v>
      </c>
      <c r="H1691" s="273">
        <v>12</v>
      </c>
      <c r="I1691" s="273">
        <v>47</v>
      </c>
      <c r="J1691" s="274">
        <f>0.149*47</f>
        <v>7.0030000000000001</v>
      </c>
    </row>
    <row r="1692" spans="1:11" ht="18" customHeight="1" x14ac:dyDescent="0.35">
      <c r="A1692" s="274">
        <f>MATCH(B1692,STUDIES!$A$3:$A$502,0)</f>
        <v>76</v>
      </c>
      <c r="B1692" s="272" t="s">
        <v>1658</v>
      </c>
      <c r="D1692" s="232" t="s">
        <v>148</v>
      </c>
      <c r="E1692" s="272" t="s">
        <v>1244</v>
      </c>
      <c r="F1692" s="155" t="str">
        <f>_xlfn.XLOOKUP(B1692,STUDIES!$A$3:$A$1063,STUDIES!$G$3:$G$1063,"Not Found!")</f>
        <v>A</v>
      </c>
      <c r="G1692" s="273" t="s">
        <v>147</v>
      </c>
      <c r="H1692" s="273">
        <v>12</v>
      </c>
      <c r="I1692" s="273">
        <v>46</v>
      </c>
      <c r="J1692" s="274">
        <f>0.109*46</f>
        <v>5.0140000000000002</v>
      </c>
    </row>
    <row r="1693" spans="1:11" ht="18" customHeight="1" x14ac:dyDescent="0.35">
      <c r="A1693" s="274">
        <f>MATCH(B1693,STUDIES!$A$3:$A$502,0)</f>
        <v>76</v>
      </c>
      <c r="B1693" s="272" t="s">
        <v>1658</v>
      </c>
      <c r="D1693" s="232" t="s">
        <v>1623</v>
      </c>
      <c r="E1693" s="272" t="s">
        <v>1163</v>
      </c>
      <c r="F1693" s="155" t="str">
        <f>_xlfn.XLOOKUP(B1693,STUDIES!$A$3:$A$1063,STUDIES!$G$3:$G$1063,"Not Found!")</f>
        <v>A</v>
      </c>
      <c r="G1693" s="273" t="s">
        <v>147</v>
      </c>
      <c r="H1693" s="273">
        <v>12</v>
      </c>
      <c r="I1693" s="273">
        <v>47</v>
      </c>
      <c r="J1693" s="274">
        <v>0</v>
      </c>
    </row>
    <row r="1694" spans="1:11" ht="18" customHeight="1" x14ac:dyDescent="0.35">
      <c r="A1694" s="274">
        <f>MATCH(B1694,STUDIES!$A$3:$A$502,0)</f>
        <v>76</v>
      </c>
      <c r="B1694" s="272" t="s">
        <v>1658</v>
      </c>
      <c r="D1694" s="232" t="s">
        <v>1624</v>
      </c>
      <c r="E1694" s="272" t="s">
        <v>1163</v>
      </c>
      <c r="F1694" s="155" t="str">
        <f>_xlfn.XLOOKUP(B1694,STUDIES!$A$3:$A$1063,STUDIES!$G$3:$G$1063,"Not Found!")</f>
        <v>A</v>
      </c>
      <c r="G1694" s="273" t="s">
        <v>147</v>
      </c>
      <c r="H1694" s="273">
        <v>12</v>
      </c>
      <c r="I1694" s="273">
        <v>47</v>
      </c>
      <c r="J1694" s="274">
        <v>0</v>
      </c>
    </row>
    <row r="1695" spans="1:11" ht="18" customHeight="1" x14ac:dyDescent="0.35">
      <c r="A1695" s="274">
        <f>MATCH(B1695,STUDIES!$A$3:$A$502,0)</f>
        <v>76</v>
      </c>
      <c r="B1695" s="272" t="s">
        <v>1658</v>
      </c>
      <c r="D1695" s="232" t="s">
        <v>148</v>
      </c>
      <c r="E1695" s="272" t="s">
        <v>1163</v>
      </c>
      <c r="F1695" s="155" t="str">
        <f>_xlfn.XLOOKUP(B1695,STUDIES!$A$3:$A$1063,STUDIES!$G$3:$G$1063,"Not Found!")</f>
        <v>A</v>
      </c>
      <c r="G1695" s="273" t="s">
        <v>147</v>
      </c>
      <c r="H1695" s="273">
        <v>12</v>
      </c>
      <c r="I1695" s="273">
        <v>46</v>
      </c>
      <c r="J1695" s="274">
        <v>0</v>
      </c>
    </row>
    <row r="1696" spans="1:11" ht="18" customHeight="1" x14ac:dyDescent="0.35">
      <c r="A1696" s="274">
        <f>MATCH(B1696,STUDIES!$A$3:$A$502,0)</f>
        <v>76</v>
      </c>
      <c r="B1696" s="272" t="s">
        <v>1658</v>
      </c>
      <c r="D1696" s="232" t="s">
        <v>1623</v>
      </c>
      <c r="E1696" s="272" t="s">
        <v>1167</v>
      </c>
      <c r="F1696" s="155" t="str">
        <f>_xlfn.XLOOKUP(B1696,STUDIES!$A$3:$A$1063,STUDIES!$G$3:$G$1063,"Not Found!")</f>
        <v>A</v>
      </c>
      <c r="G1696" s="273" t="s">
        <v>147</v>
      </c>
      <c r="H1696" s="273">
        <v>12</v>
      </c>
      <c r="I1696" s="273">
        <v>47</v>
      </c>
      <c r="J1696" s="274">
        <v>2</v>
      </c>
    </row>
    <row r="1697" spans="1:19" ht="18" customHeight="1" x14ac:dyDescent="0.35">
      <c r="A1697" s="274">
        <f>MATCH(B1697,STUDIES!$A$3:$A$502,0)</f>
        <v>76</v>
      </c>
      <c r="B1697" s="272" t="s">
        <v>1658</v>
      </c>
      <c r="D1697" s="232" t="s">
        <v>1624</v>
      </c>
      <c r="E1697" s="272" t="s">
        <v>1167</v>
      </c>
      <c r="F1697" s="155" t="str">
        <f>_xlfn.XLOOKUP(B1697,STUDIES!$A$3:$A$1063,STUDIES!$G$3:$G$1063,"Not Found!")</f>
        <v>A</v>
      </c>
      <c r="G1697" s="273" t="s">
        <v>147</v>
      </c>
      <c r="H1697" s="273">
        <v>12</v>
      </c>
      <c r="I1697" s="273">
        <v>47</v>
      </c>
      <c r="J1697" s="274">
        <v>5</v>
      </c>
    </row>
    <row r="1698" spans="1:19" ht="18" customHeight="1" x14ac:dyDescent="0.35">
      <c r="A1698" s="274">
        <f>MATCH(B1698,STUDIES!$A$3:$A$502,0)</f>
        <v>76</v>
      </c>
      <c r="B1698" s="272" t="s">
        <v>1658</v>
      </c>
      <c r="D1698" s="232" t="s">
        <v>148</v>
      </c>
      <c r="E1698" s="272" t="s">
        <v>1167</v>
      </c>
      <c r="F1698" s="155" t="str">
        <f>_xlfn.XLOOKUP(B1698,STUDIES!$A$3:$A$1063,STUDIES!$G$3:$G$1063,"Not Found!")</f>
        <v>A</v>
      </c>
      <c r="G1698" s="273" t="s">
        <v>147</v>
      </c>
      <c r="H1698" s="273">
        <v>12</v>
      </c>
      <c r="I1698" s="273">
        <v>46</v>
      </c>
      <c r="J1698" s="274">
        <v>0</v>
      </c>
    </row>
    <row r="1699" spans="1:19" ht="18" customHeight="1" x14ac:dyDescent="0.35">
      <c r="A1699" s="274">
        <f>MATCH(B1699,STUDIES!$A$3:$A$502,0)</f>
        <v>78</v>
      </c>
      <c r="B1699" s="86" t="s">
        <v>1637</v>
      </c>
      <c r="C1699" s="465"/>
      <c r="D1699" s="232" t="s">
        <v>148</v>
      </c>
      <c r="E1699" s="272" t="s">
        <v>1268</v>
      </c>
      <c r="F1699" s="155" t="str">
        <f>_xlfn.XLOOKUP(B1699,STUDIES!$A$3:$A$1063,STUDIES!$G$3:$G$1063,"Not Found!")</f>
        <v>A</v>
      </c>
      <c r="G1699" s="273" t="s">
        <v>147</v>
      </c>
      <c r="H1699" s="273">
        <v>16</v>
      </c>
      <c r="I1699" s="273">
        <v>146</v>
      </c>
      <c r="J1699" s="274">
        <f>0.109*146</f>
        <v>15.914</v>
      </c>
    </row>
    <row r="1700" spans="1:19" ht="18" customHeight="1" x14ac:dyDescent="0.35">
      <c r="A1700" s="274">
        <f>MATCH(B1700,STUDIES!$A$3:$A$502,0)</f>
        <v>78</v>
      </c>
      <c r="B1700" s="86" t="s">
        <v>1637</v>
      </c>
      <c r="C1700" s="465"/>
      <c r="D1700" s="230" t="s">
        <v>1073</v>
      </c>
      <c r="E1700" s="272" t="s">
        <v>1268</v>
      </c>
      <c r="F1700" s="155" t="str">
        <f>_xlfn.XLOOKUP(B1700,STUDIES!$A$3:$A$1063,STUDIES!$G$3:$G$1063,"Not Found!")</f>
        <v>A</v>
      </c>
      <c r="G1700" s="273" t="s">
        <v>147</v>
      </c>
      <c r="H1700" s="273">
        <v>16</v>
      </c>
      <c r="I1700" s="273">
        <v>281</v>
      </c>
      <c r="J1700" s="274">
        <f>0.331*281</f>
        <v>93.01100000000001</v>
      </c>
    </row>
    <row r="1701" spans="1:19" ht="18" customHeight="1" x14ac:dyDescent="0.35">
      <c r="A1701" s="274">
        <f>MATCH(B1701,STUDIES!$A$3:$A$502,0)</f>
        <v>78</v>
      </c>
      <c r="B1701" s="86" t="s">
        <v>1637</v>
      </c>
      <c r="C1701" s="465"/>
      <c r="D1701" s="232" t="s">
        <v>148</v>
      </c>
      <c r="E1701" s="272" t="s">
        <v>1243</v>
      </c>
      <c r="F1701" s="155" t="str">
        <f>_xlfn.XLOOKUP(B1701,STUDIES!$A$3:$A$1063,STUDIES!$G$3:$G$1063,"Not Found!")</f>
        <v>A</v>
      </c>
      <c r="G1701" s="273" t="s">
        <v>147</v>
      </c>
      <c r="H1701" s="273">
        <v>16</v>
      </c>
      <c r="I1701" s="273">
        <v>146</v>
      </c>
      <c r="J1701" s="274">
        <f>0.182*146</f>
        <v>26.571999999999999</v>
      </c>
    </row>
    <row r="1702" spans="1:19" ht="18" customHeight="1" x14ac:dyDescent="0.35">
      <c r="A1702" s="274">
        <f>MATCH(B1702,STUDIES!$A$3:$A$502,0)</f>
        <v>78</v>
      </c>
      <c r="B1702" s="86" t="s">
        <v>1637</v>
      </c>
      <c r="C1702" s="465"/>
      <c r="D1702" s="230" t="s">
        <v>1073</v>
      </c>
      <c r="E1702" s="272" t="s">
        <v>1243</v>
      </c>
      <c r="F1702" s="155" t="str">
        <f>_xlfn.XLOOKUP(B1702,STUDIES!$A$3:$A$1063,STUDIES!$G$3:$G$1063,"Not Found!")</f>
        <v>A</v>
      </c>
      <c r="G1702" s="273" t="s">
        <v>147</v>
      </c>
      <c r="H1702" s="273">
        <v>16</v>
      </c>
      <c r="I1702" s="273">
        <v>281</v>
      </c>
      <c r="J1702" s="274">
        <f>0.508*281</f>
        <v>142.74799999999999</v>
      </c>
    </row>
    <row r="1703" spans="1:19" ht="18" customHeight="1" x14ac:dyDescent="0.35">
      <c r="A1703" s="274">
        <f>MATCH(B1703,STUDIES!$A$3:$A$502,0)</f>
        <v>78</v>
      </c>
      <c r="B1703" s="86" t="s">
        <v>1637</v>
      </c>
      <c r="C1703" s="465" t="s">
        <v>112</v>
      </c>
      <c r="D1703" s="232" t="s">
        <v>148</v>
      </c>
      <c r="E1703" s="272" t="s">
        <v>1268</v>
      </c>
      <c r="F1703" s="155" t="str">
        <f>_xlfn.XLOOKUP(B1703,STUDIES!$A$3:$A$1063,STUDIES!$G$3:$G$1063,"Not Found!")</f>
        <v>A</v>
      </c>
      <c r="G1703" s="273" t="s">
        <v>147</v>
      </c>
      <c r="H1703" s="273">
        <v>16</v>
      </c>
      <c r="I1703" s="273">
        <v>129</v>
      </c>
      <c r="J1703" s="274">
        <f>0.116*129</f>
        <v>14.964</v>
      </c>
    </row>
    <row r="1704" spans="1:19" ht="18" customHeight="1" x14ac:dyDescent="0.35">
      <c r="A1704" s="274">
        <f>MATCH(B1704,STUDIES!$A$3:$A$502,0)</f>
        <v>78</v>
      </c>
      <c r="B1704" s="86" t="s">
        <v>1637</v>
      </c>
      <c r="C1704" s="465" t="s">
        <v>112</v>
      </c>
      <c r="D1704" s="230" t="s">
        <v>1073</v>
      </c>
      <c r="E1704" s="272" t="s">
        <v>1268</v>
      </c>
      <c r="F1704" s="155" t="str">
        <f>_xlfn.XLOOKUP(B1704,STUDIES!$A$3:$A$1063,STUDIES!$G$3:$G$1063,"Not Found!")</f>
        <v>A</v>
      </c>
      <c r="G1704" s="273" t="s">
        <v>147</v>
      </c>
      <c r="H1704" s="273">
        <v>16</v>
      </c>
      <c r="I1704" s="273">
        <v>251</v>
      </c>
      <c r="J1704" s="274">
        <f>251*0.318</f>
        <v>79.817999999999998</v>
      </c>
    </row>
    <row r="1705" spans="1:19" ht="18" customHeight="1" x14ac:dyDescent="0.35">
      <c r="A1705" s="274">
        <f>MATCH(B1705,STUDIES!$A$3:$A$502,0)</f>
        <v>78</v>
      </c>
      <c r="B1705" s="86" t="s">
        <v>1637</v>
      </c>
      <c r="C1705" s="465"/>
      <c r="D1705" s="232" t="s">
        <v>148</v>
      </c>
      <c r="E1705" s="272" t="s">
        <v>1244</v>
      </c>
      <c r="F1705" s="155" t="str">
        <f>_xlfn.XLOOKUP(B1705,STUDIES!$A$3:$A$1063,STUDIES!$G$3:$G$1063,"Not Found!")</f>
        <v>A</v>
      </c>
      <c r="G1705" s="273" t="s">
        <v>147</v>
      </c>
      <c r="H1705" s="273">
        <v>16</v>
      </c>
      <c r="I1705" s="273">
        <v>146</v>
      </c>
      <c r="J1705" s="274">
        <f>0.094*146</f>
        <v>13.724</v>
      </c>
      <c r="K1705" s="432"/>
    </row>
    <row r="1706" spans="1:19" ht="18" customHeight="1" x14ac:dyDescent="0.35">
      <c r="A1706" s="274">
        <f>MATCH(B1706,STUDIES!$A$3:$A$502,0)</f>
        <v>78</v>
      </c>
      <c r="B1706" s="86" t="s">
        <v>1637</v>
      </c>
      <c r="C1706" s="465"/>
      <c r="D1706" s="230" t="s">
        <v>1073</v>
      </c>
      <c r="E1706" s="272" t="s">
        <v>1244</v>
      </c>
      <c r="F1706" s="155" t="str">
        <f>_xlfn.XLOOKUP(B1706,STUDIES!$A$3:$A$1063,STUDIES!$G$3:$G$1063,"Not Found!")</f>
        <v>A</v>
      </c>
      <c r="G1706" s="273" t="s">
        <v>147</v>
      </c>
      <c r="H1706" s="273">
        <v>16</v>
      </c>
      <c r="I1706" s="273">
        <v>281</v>
      </c>
      <c r="J1706" s="274">
        <f>0.302*281</f>
        <v>84.861999999999995</v>
      </c>
    </row>
    <row r="1707" spans="1:19" ht="18" customHeight="1" x14ac:dyDescent="0.35">
      <c r="A1707" s="274">
        <f>MATCH(B1707,STUDIES!$A$3:$A$502,0)</f>
        <v>78</v>
      </c>
      <c r="B1707" s="86" t="s">
        <v>1637</v>
      </c>
      <c r="C1707" s="465"/>
      <c r="D1707" s="232" t="s">
        <v>148</v>
      </c>
      <c r="E1707" s="272" t="s">
        <v>154</v>
      </c>
      <c r="F1707" s="155" t="str">
        <f>_xlfn.XLOOKUP(B1707,STUDIES!$A$3:$A$1063,STUDIES!$G$3:$G$1063,"Not Found!")</f>
        <v>A</v>
      </c>
      <c r="G1707" s="273" t="s">
        <v>147</v>
      </c>
      <c r="H1707" s="273">
        <v>16</v>
      </c>
      <c r="I1707" s="273">
        <v>118</v>
      </c>
      <c r="R1707" s="276">
        <v>-2.4700000000000002</v>
      </c>
      <c r="S1707" s="268">
        <v>1.1639999999999999</v>
      </c>
    </row>
    <row r="1708" spans="1:19" ht="18" customHeight="1" x14ac:dyDescent="0.35">
      <c r="A1708" s="274">
        <f>MATCH(B1708,STUDIES!$A$3:$A$502,0)</f>
        <v>78</v>
      </c>
      <c r="B1708" s="86" t="s">
        <v>1637</v>
      </c>
      <c r="C1708" s="465"/>
      <c r="D1708" s="230" t="s">
        <v>1073</v>
      </c>
      <c r="E1708" s="272" t="s">
        <v>154</v>
      </c>
      <c r="F1708" s="155" t="str">
        <f>_xlfn.XLOOKUP(B1708,STUDIES!$A$3:$A$1063,STUDIES!$G$3:$G$1063,"Not Found!")</f>
        <v>A</v>
      </c>
      <c r="G1708" s="273" t="s">
        <v>147</v>
      </c>
      <c r="H1708" s="273">
        <v>16</v>
      </c>
      <c r="I1708" s="273">
        <v>218</v>
      </c>
      <c r="R1708" s="276">
        <v>-6.99</v>
      </c>
      <c r="S1708" s="268">
        <v>1.1519999999999999</v>
      </c>
    </row>
    <row r="1709" spans="1:19" ht="18" customHeight="1" x14ac:dyDescent="0.35">
      <c r="A1709" s="274">
        <f>MATCH(B1709,STUDIES!$A$3:$A$502,0)</f>
        <v>78</v>
      </c>
      <c r="B1709" s="86" t="s">
        <v>1637</v>
      </c>
      <c r="C1709" s="465"/>
      <c r="D1709" s="232" t="s">
        <v>148</v>
      </c>
      <c r="E1709" s="272" t="s">
        <v>153</v>
      </c>
      <c r="F1709" s="155" t="str">
        <f>_xlfn.XLOOKUP(B1709,STUDIES!$A$3:$A$1063,STUDIES!$G$3:$G$1063,"Not Found!")</f>
        <v>A</v>
      </c>
      <c r="G1709" s="273" t="s">
        <v>147</v>
      </c>
      <c r="H1709" s="273">
        <v>16</v>
      </c>
      <c r="I1709" s="273">
        <v>65</v>
      </c>
      <c r="Q1709" s="275"/>
      <c r="R1709" s="276">
        <v>-3.45</v>
      </c>
      <c r="S1709" s="268">
        <v>0.77300000000000002</v>
      </c>
    </row>
    <row r="1710" spans="1:19" ht="18" customHeight="1" x14ac:dyDescent="0.35">
      <c r="A1710" s="274">
        <f>MATCH(B1710,STUDIES!$A$3:$A$502,0)</f>
        <v>78</v>
      </c>
      <c r="B1710" s="86" t="s">
        <v>1637</v>
      </c>
      <c r="C1710" s="465"/>
      <c r="D1710" s="230" t="s">
        <v>1073</v>
      </c>
      <c r="E1710" s="272" t="s">
        <v>153</v>
      </c>
      <c r="F1710" s="155" t="str">
        <f>_xlfn.XLOOKUP(B1710,STUDIES!$A$3:$A$1063,STUDIES!$G$3:$G$1063,"Not Found!")</f>
        <v>A</v>
      </c>
      <c r="G1710" s="273" t="s">
        <v>147</v>
      </c>
      <c r="H1710" s="273">
        <v>16</v>
      </c>
      <c r="I1710" s="273">
        <v>184</v>
      </c>
      <c r="Q1710" s="275"/>
      <c r="R1710" s="276">
        <v>-9.5500000000000007</v>
      </c>
      <c r="S1710" s="268">
        <v>0.52500000000000002</v>
      </c>
    </row>
    <row r="1711" spans="1:19" ht="18" customHeight="1" x14ac:dyDescent="0.35">
      <c r="A1711" s="274">
        <f>MATCH(B1711,STUDIES!$A$3:$A$502,0)</f>
        <v>78</v>
      </c>
      <c r="B1711" s="86" t="s">
        <v>1637</v>
      </c>
      <c r="C1711" s="465"/>
      <c r="D1711" s="232" t="s">
        <v>148</v>
      </c>
      <c r="E1711" s="272" t="s">
        <v>694</v>
      </c>
      <c r="F1711" s="155" t="str">
        <f>_xlfn.XLOOKUP(B1711,STUDIES!$A$3:$A$1063,STUDIES!$G$3:$G$1063,"Not Found!")</f>
        <v>A</v>
      </c>
      <c r="G1711" s="273" t="s">
        <v>147</v>
      </c>
      <c r="H1711" s="273">
        <v>16</v>
      </c>
      <c r="I1711" s="273">
        <v>4</v>
      </c>
      <c r="R1711" s="283">
        <v>-4.13</v>
      </c>
      <c r="S1711" s="268">
        <v>2.2759999999999998</v>
      </c>
    </row>
    <row r="1712" spans="1:19" ht="18" customHeight="1" x14ac:dyDescent="0.35">
      <c r="A1712" s="274">
        <f>MATCH(B1712,STUDIES!$A$3:$A$502,0)</f>
        <v>78</v>
      </c>
      <c r="B1712" s="86" t="s">
        <v>1637</v>
      </c>
      <c r="C1712" s="465"/>
      <c r="D1712" s="230" t="s">
        <v>1073</v>
      </c>
      <c r="E1712" s="272" t="s">
        <v>694</v>
      </c>
      <c r="F1712" s="155" t="str">
        <f>_xlfn.XLOOKUP(B1712,STUDIES!$A$3:$A$1063,STUDIES!$G$3:$G$1063,"Not Found!")</f>
        <v>A</v>
      </c>
      <c r="G1712" s="273" t="s">
        <v>147</v>
      </c>
      <c r="H1712" s="273">
        <v>16</v>
      </c>
      <c r="I1712" s="273">
        <v>17</v>
      </c>
      <c r="R1712" s="283">
        <v>-7.49</v>
      </c>
      <c r="S1712" s="268">
        <v>1.1200000000000001</v>
      </c>
    </row>
    <row r="1713" spans="1:19" ht="18" customHeight="1" x14ac:dyDescent="0.35">
      <c r="A1713" s="274">
        <f>MATCH(B1713,STUDIES!$A$3:$A$502,0)</f>
        <v>78</v>
      </c>
      <c r="B1713" s="86" t="s">
        <v>1637</v>
      </c>
      <c r="C1713" s="465"/>
      <c r="D1713" s="232" t="s">
        <v>148</v>
      </c>
      <c r="E1713" s="272" t="s">
        <v>1163</v>
      </c>
      <c r="F1713" s="155" t="str">
        <f>_xlfn.XLOOKUP(B1713,STUDIES!$A$3:$A$1063,STUDIES!$G$3:$G$1063,"Not Found!")</f>
        <v>A</v>
      </c>
      <c r="G1713" s="273" t="s">
        <v>147</v>
      </c>
      <c r="H1713" s="273">
        <v>16</v>
      </c>
      <c r="I1713" s="273">
        <v>149</v>
      </c>
      <c r="J1713" s="274">
        <v>4</v>
      </c>
    </row>
    <row r="1714" spans="1:19" ht="18" customHeight="1" x14ac:dyDescent="0.35">
      <c r="A1714" s="274">
        <f>MATCH(B1714,STUDIES!$A$3:$A$502,0)</f>
        <v>78</v>
      </c>
      <c r="B1714" s="86" t="s">
        <v>1637</v>
      </c>
      <c r="C1714" s="465"/>
      <c r="D1714" s="230" t="s">
        <v>1073</v>
      </c>
      <c r="E1714" s="272" t="s">
        <v>1163</v>
      </c>
      <c r="F1714" s="155" t="str">
        <f>_xlfn.XLOOKUP(B1714,STUDIES!$A$3:$A$1063,STUDIES!$G$3:$G$1063,"Not Found!")</f>
        <v>A</v>
      </c>
      <c r="G1714" s="273" t="s">
        <v>147</v>
      </c>
      <c r="H1714" s="273">
        <v>16</v>
      </c>
      <c r="I1714" s="273">
        <v>295</v>
      </c>
      <c r="J1714" s="274">
        <v>2</v>
      </c>
    </row>
    <row r="1715" spans="1:19" ht="18" customHeight="1" x14ac:dyDescent="0.35">
      <c r="A1715" s="274">
        <f>MATCH(B1715,STUDIES!$A$3:$A$502,0)</f>
        <v>78</v>
      </c>
      <c r="B1715" s="86" t="s">
        <v>1637</v>
      </c>
      <c r="C1715" s="465"/>
      <c r="D1715" s="232" t="s">
        <v>148</v>
      </c>
      <c r="E1715" s="272" t="s">
        <v>1167</v>
      </c>
      <c r="F1715" s="155" t="str">
        <f>_xlfn.XLOOKUP(B1715,STUDIES!$A$3:$A$1063,STUDIES!$G$3:$G$1063,"Not Found!")</f>
        <v>A</v>
      </c>
      <c r="G1715" s="273" t="s">
        <v>147</v>
      </c>
      <c r="H1715" s="273">
        <v>16</v>
      </c>
      <c r="I1715" s="273">
        <v>149</v>
      </c>
      <c r="J1715" s="274">
        <v>4</v>
      </c>
    </row>
    <row r="1716" spans="1:19" ht="18" customHeight="1" x14ac:dyDescent="0.35">
      <c r="A1716" s="274">
        <f>MATCH(B1716,STUDIES!$A$3:$A$502,0)</f>
        <v>78</v>
      </c>
      <c r="B1716" s="86" t="s">
        <v>1637</v>
      </c>
      <c r="C1716" s="465"/>
      <c r="D1716" s="230" t="s">
        <v>1073</v>
      </c>
      <c r="E1716" s="272" t="s">
        <v>1167</v>
      </c>
      <c r="F1716" s="155" t="str">
        <f>_xlfn.XLOOKUP(B1716,STUDIES!$A$3:$A$1063,STUDIES!$G$3:$G$1063,"Not Found!")</f>
        <v>A</v>
      </c>
      <c r="G1716" s="273" t="s">
        <v>147</v>
      </c>
      <c r="H1716" s="273">
        <v>16</v>
      </c>
      <c r="I1716" s="273">
        <v>295</v>
      </c>
      <c r="J1716" s="274">
        <v>6</v>
      </c>
    </row>
    <row r="1717" spans="1:19" ht="18" customHeight="1" x14ac:dyDescent="0.35">
      <c r="A1717" s="274">
        <f>MATCH(B1717,STUDIES!$A$3:$A$502,0)</f>
        <v>79</v>
      </c>
      <c r="B1717" s="86" t="s">
        <v>1638</v>
      </c>
      <c r="C1717" s="465"/>
      <c r="D1717" s="232" t="s">
        <v>148</v>
      </c>
      <c r="E1717" s="272" t="s">
        <v>1268</v>
      </c>
      <c r="F1717" s="155" t="str">
        <f>_xlfn.XLOOKUP(B1717,STUDIES!$A$3:$A$1063,STUDIES!$G$3:$G$1063,"Not Found!")</f>
        <v>A</v>
      </c>
      <c r="G1717" s="273" t="s">
        <v>147</v>
      </c>
      <c r="H1717" s="273">
        <v>16</v>
      </c>
      <c r="I1717" s="273">
        <v>141</v>
      </c>
      <c r="J1717" s="274">
        <f>0.127*141</f>
        <v>17.907</v>
      </c>
    </row>
    <row r="1718" spans="1:19" ht="18" customHeight="1" x14ac:dyDescent="0.35">
      <c r="A1718" s="274">
        <f>MATCH(B1718,STUDIES!$A$3:$A$502,0)</f>
        <v>79</v>
      </c>
      <c r="B1718" s="86" t="s">
        <v>1638</v>
      </c>
      <c r="C1718" s="465"/>
      <c r="D1718" s="230" t="s">
        <v>1073</v>
      </c>
      <c r="E1718" s="272" t="s">
        <v>1268</v>
      </c>
      <c r="F1718" s="155" t="str">
        <f>_xlfn.XLOOKUP(B1718,STUDIES!$A$3:$A$1063,STUDIES!$G$3:$G$1063,"Not Found!")</f>
        <v>A</v>
      </c>
      <c r="G1718" s="273" t="s">
        <v>147</v>
      </c>
      <c r="H1718" s="273">
        <v>16</v>
      </c>
      <c r="I1718" s="273">
        <v>283</v>
      </c>
      <c r="J1718" s="274">
        <f>0.431*283</f>
        <v>121.973</v>
      </c>
    </row>
    <row r="1719" spans="1:19" ht="18" customHeight="1" x14ac:dyDescent="0.35">
      <c r="A1719" s="274">
        <f>MATCH(B1719,STUDIES!$A$3:$A$502,0)</f>
        <v>79</v>
      </c>
      <c r="B1719" s="86" t="s">
        <v>1638</v>
      </c>
      <c r="C1719" s="465"/>
      <c r="D1719" s="232" t="s">
        <v>148</v>
      </c>
      <c r="E1719" s="272" t="s">
        <v>1243</v>
      </c>
      <c r="F1719" s="155" t="str">
        <f>_xlfn.XLOOKUP(B1719,STUDIES!$A$3:$A$1063,STUDIES!$G$3:$G$1063,"Not Found!")</f>
        <v>A</v>
      </c>
      <c r="G1719" s="273" t="s">
        <v>147</v>
      </c>
      <c r="H1719" s="273">
        <v>16</v>
      </c>
      <c r="I1719" s="273">
        <v>141</v>
      </c>
      <c r="J1719" s="274">
        <f>0.162*141</f>
        <v>22.842000000000002</v>
      </c>
    </row>
    <row r="1720" spans="1:19" ht="18" customHeight="1" x14ac:dyDescent="0.35">
      <c r="A1720" s="274">
        <f>MATCH(B1720,STUDIES!$A$3:$A$502,0)</f>
        <v>79</v>
      </c>
      <c r="B1720" s="86" t="s">
        <v>1638</v>
      </c>
      <c r="C1720" s="465"/>
      <c r="D1720" s="230" t="s">
        <v>1073</v>
      </c>
      <c r="E1720" s="272" t="s">
        <v>1243</v>
      </c>
      <c r="F1720" s="155" t="str">
        <f>_xlfn.XLOOKUP(B1720,STUDIES!$A$3:$A$1063,STUDIES!$G$3:$G$1063,"Not Found!")</f>
        <v>A</v>
      </c>
      <c r="G1720" s="273" t="s">
        <v>147</v>
      </c>
      <c r="H1720" s="273">
        <v>16</v>
      </c>
      <c r="I1720" s="273">
        <v>283</v>
      </c>
      <c r="J1720" s="274">
        <f>0.588*283</f>
        <v>166.404</v>
      </c>
    </row>
    <row r="1721" spans="1:19" ht="18" customHeight="1" x14ac:dyDescent="0.35">
      <c r="A1721" s="274">
        <f>MATCH(B1721,STUDIES!$A$3:$A$502,0)</f>
        <v>79</v>
      </c>
      <c r="B1721" s="86" t="s">
        <v>1638</v>
      </c>
      <c r="C1721" s="465" t="s">
        <v>112</v>
      </c>
      <c r="D1721" s="232" t="s">
        <v>148</v>
      </c>
      <c r="E1721" s="272" t="s">
        <v>1268</v>
      </c>
      <c r="F1721" s="155" t="str">
        <f>_xlfn.XLOOKUP(B1721,STUDIES!$A$3:$A$1063,STUDIES!$G$3:$G$1063,"Not Found!")</f>
        <v>A</v>
      </c>
      <c r="G1721" s="273" t="s">
        <v>147</v>
      </c>
      <c r="H1721" s="273">
        <v>16</v>
      </c>
      <c r="I1721" s="273">
        <v>123</v>
      </c>
      <c r="J1721" s="274">
        <f>0.113*123</f>
        <v>13.899000000000001</v>
      </c>
    </row>
    <row r="1722" spans="1:19" ht="18" customHeight="1" x14ac:dyDescent="0.35">
      <c r="A1722" s="274">
        <f>MATCH(B1722,STUDIES!$A$3:$A$502,0)</f>
        <v>79</v>
      </c>
      <c r="B1722" s="86" t="s">
        <v>1638</v>
      </c>
      <c r="C1722" s="465" t="s">
        <v>112</v>
      </c>
      <c r="D1722" s="230" t="s">
        <v>1073</v>
      </c>
      <c r="E1722" s="272" t="s">
        <v>1268</v>
      </c>
      <c r="F1722" s="155" t="str">
        <f>_xlfn.XLOOKUP(B1722,STUDIES!$A$3:$A$1063,STUDIES!$G$3:$G$1063,"Not Found!")</f>
        <v>A</v>
      </c>
      <c r="G1722" s="273" t="s">
        <v>147</v>
      </c>
      <c r="H1722" s="273">
        <v>16</v>
      </c>
      <c r="I1722" s="273">
        <v>246</v>
      </c>
      <c r="J1722" s="274">
        <f>0.422*246</f>
        <v>103.812</v>
      </c>
    </row>
    <row r="1723" spans="1:19" ht="18" customHeight="1" x14ac:dyDescent="0.35">
      <c r="A1723" s="274">
        <f>MATCH(B1723,STUDIES!$A$3:$A$502,0)</f>
        <v>79</v>
      </c>
      <c r="B1723" s="86" t="s">
        <v>1638</v>
      </c>
      <c r="C1723" s="465"/>
      <c r="D1723" s="232" t="s">
        <v>148</v>
      </c>
      <c r="E1723" s="272" t="s">
        <v>1244</v>
      </c>
      <c r="F1723" s="155" t="str">
        <f>_xlfn.XLOOKUP(B1723,STUDIES!$A$3:$A$1063,STUDIES!$G$3:$G$1063,"Not Found!")</f>
        <v>A</v>
      </c>
      <c r="G1723" s="273" t="s">
        <v>147</v>
      </c>
      <c r="H1723" s="273">
        <v>16</v>
      </c>
      <c r="I1723" s="273">
        <v>141</v>
      </c>
      <c r="J1723" s="274">
        <f>0.09*141</f>
        <v>12.69</v>
      </c>
    </row>
    <row r="1724" spans="1:19" ht="18" customHeight="1" x14ac:dyDescent="0.35">
      <c r="A1724" s="274">
        <f>MATCH(B1724,STUDIES!$A$3:$A$502,0)</f>
        <v>79</v>
      </c>
      <c r="B1724" s="86" t="s">
        <v>1638</v>
      </c>
      <c r="C1724" s="465"/>
      <c r="D1724" s="230" t="s">
        <v>1073</v>
      </c>
      <c r="E1724" s="272" t="s">
        <v>1244</v>
      </c>
      <c r="F1724" s="155" t="str">
        <f>_xlfn.XLOOKUP(B1724,STUDIES!$A$3:$A$1063,STUDIES!$G$3:$G$1063,"Not Found!")</f>
        <v>A</v>
      </c>
      <c r="G1724" s="273" t="s">
        <v>147</v>
      </c>
      <c r="H1724" s="273">
        <v>16</v>
      </c>
      <c r="I1724" s="273">
        <v>283</v>
      </c>
      <c r="J1724" s="274">
        <f>0.383*283</f>
        <v>108.389</v>
      </c>
    </row>
    <row r="1725" spans="1:19" ht="18" customHeight="1" x14ac:dyDescent="0.35">
      <c r="A1725" s="274">
        <f>MATCH(B1725,STUDIES!$A$3:$A$502,0)</f>
        <v>79</v>
      </c>
      <c r="B1725" s="86" t="s">
        <v>1638</v>
      </c>
      <c r="C1725" s="465"/>
      <c r="D1725" s="232" t="s">
        <v>148</v>
      </c>
      <c r="E1725" s="272" t="s">
        <v>154</v>
      </c>
      <c r="F1725" s="155" t="str">
        <f>_xlfn.XLOOKUP(B1725,STUDIES!$A$3:$A$1063,STUDIES!$G$3:$G$1063,"Not Found!")</f>
        <v>A</v>
      </c>
      <c r="G1725" s="273" t="s">
        <v>147</v>
      </c>
      <c r="H1725" s="273">
        <v>16</v>
      </c>
      <c r="I1725" s="273">
        <v>121</v>
      </c>
      <c r="Q1725" s="275"/>
      <c r="R1725" s="276">
        <v>-2.9</v>
      </c>
      <c r="S1725" s="268">
        <v>1.1000000000000001</v>
      </c>
    </row>
    <row r="1726" spans="1:19" ht="18" customHeight="1" x14ac:dyDescent="0.35">
      <c r="A1726" s="274">
        <f>MATCH(B1726,STUDIES!$A$3:$A$502,0)</f>
        <v>79</v>
      </c>
      <c r="B1726" s="86" t="s">
        <v>1638</v>
      </c>
      <c r="C1726" s="465"/>
      <c r="D1726" s="230" t="s">
        <v>1073</v>
      </c>
      <c r="E1726" s="272" t="s">
        <v>154</v>
      </c>
      <c r="F1726" s="155" t="str">
        <f>_xlfn.XLOOKUP(B1726,STUDIES!$A$3:$A$1063,STUDIES!$G$3:$G$1063,"Not Found!")</f>
        <v>A</v>
      </c>
      <c r="G1726" s="273" t="s">
        <v>147</v>
      </c>
      <c r="H1726" s="273">
        <v>16</v>
      </c>
      <c r="I1726" s="273">
        <v>239</v>
      </c>
      <c r="Q1726" s="275"/>
      <c r="R1726" s="276">
        <v>-8.6999999999999993</v>
      </c>
      <c r="S1726" s="268">
        <v>1.05</v>
      </c>
    </row>
    <row r="1727" spans="1:19" ht="18" customHeight="1" x14ac:dyDescent="0.35">
      <c r="A1727" s="274">
        <f>MATCH(B1727,STUDIES!$A$3:$A$502,0)</f>
        <v>79</v>
      </c>
      <c r="B1727" s="86" t="s">
        <v>1638</v>
      </c>
      <c r="C1727" s="465"/>
      <c r="D1727" s="232" t="s">
        <v>148</v>
      </c>
      <c r="E1727" s="272" t="s">
        <v>153</v>
      </c>
      <c r="F1727" s="155" t="str">
        <f>_xlfn.XLOOKUP(B1727,STUDIES!$A$3:$A$1063,STUDIES!$G$3:$G$1063,"Not Found!")</f>
        <v>A</v>
      </c>
      <c r="G1727" s="273" t="s">
        <v>147</v>
      </c>
      <c r="H1727" s="273">
        <v>16</v>
      </c>
      <c r="I1727" s="273">
        <v>71</v>
      </c>
      <c r="R1727" s="283">
        <v>-3.9</v>
      </c>
      <c r="S1727" s="268">
        <v>0.72</v>
      </c>
    </row>
    <row r="1728" spans="1:19" ht="18" customHeight="1" x14ac:dyDescent="0.35">
      <c r="A1728" s="274">
        <f>MATCH(B1728,STUDIES!$A$3:$A$502,0)</f>
        <v>79</v>
      </c>
      <c r="B1728" s="86" t="s">
        <v>1638</v>
      </c>
      <c r="C1728" s="465"/>
      <c r="D1728" s="230" t="s">
        <v>1073</v>
      </c>
      <c r="E1728" s="272" t="s">
        <v>153</v>
      </c>
      <c r="F1728" s="155" t="str">
        <f>_xlfn.XLOOKUP(B1728,STUDIES!$A$3:$A$1063,STUDIES!$G$3:$G$1063,"Not Found!")</f>
        <v>A</v>
      </c>
      <c r="G1728" s="273" t="s">
        <v>147</v>
      </c>
      <c r="H1728" s="273">
        <v>16</v>
      </c>
      <c r="I1728" s="273">
        <v>205</v>
      </c>
      <c r="R1728" s="283">
        <v>-11.3</v>
      </c>
      <c r="S1728" s="268">
        <v>0.47</v>
      </c>
    </row>
    <row r="1729" spans="1:37" ht="18" customHeight="1" x14ac:dyDescent="0.35">
      <c r="A1729" s="274">
        <f>MATCH(B1729,STUDIES!$A$3:$A$502,0)</f>
        <v>79</v>
      </c>
      <c r="B1729" s="86" t="s">
        <v>1638</v>
      </c>
      <c r="C1729" s="465"/>
      <c r="D1729" s="232" t="s">
        <v>148</v>
      </c>
      <c r="E1729" s="272" t="s">
        <v>694</v>
      </c>
      <c r="F1729" s="155" t="str">
        <f>_xlfn.XLOOKUP(B1729,STUDIES!$A$3:$A$1063,STUDIES!$G$3:$G$1063,"Not Found!")</f>
        <v>A</v>
      </c>
      <c r="G1729" s="273" t="s">
        <v>147</v>
      </c>
      <c r="H1729" s="273">
        <v>16</v>
      </c>
      <c r="I1729" s="273">
        <v>9</v>
      </c>
      <c r="R1729" s="283">
        <v>-1</v>
      </c>
      <c r="S1729" s="268">
        <v>1.29</v>
      </c>
    </row>
    <row r="1730" spans="1:37" ht="18" customHeight="1" x14ac:dyDescent="0.35">
      <c r="A1730" s="274">
        <f>MATCH(B1730,STUDIES!$A$3:$A$502,0)</f>
        <v>79</v>
      </c>
      <c r="B1730" s="86" t="s">
        <v>1638</v>
      </c>
      <c r="C1730" s="465"/>
      <c r="D1730" s="230" t="s">
        <v>1073</v>
      </c>
      <c r="E1730" s="272" t="s">
        <v>694</v>
      </c>
      <c r="F1730" s="155" t="str">
        <f>_xlfn.XLOOKUP(B1730,STUDIES!$A$3:$A$1063,STUDIES!$G$3:$G$1063,"Not Found!")</f>
        <v>A</v>
      </c>
      <c r="G1730" s="273" t="s">
        <v>147</v>
      </c>
      <c r="H1730" s="273">
        <v>16</v>
      </c>
      <c r="I1730" s="273">
        <v>26</v>
      </c>
      <c r="R1730" s="283">
        <v>-8</v>
      </c>
      <c r="S1730" s="268">
        <v>0.8</v>
      </c>
    </row>
    <row r="1731" spans="1:37" ht="18" customHeight="1" x14ac:dyDescent="0.35">
      <c r="A1731" s="274">
        <f>MATCH(B1731,STUDIES!$A$3:$A$502,0)</f>
        <v>79</v>
      </c>
      <c r="B1731" s="86" t="s">
        <v>1638</v>
      </c>
      <c r="C1731" s="465"/>
      <c r="D1731" s="232" t="s">
        <v>148</v>
      </c>
      <c r="E1731" s="272" t="s">
        <v>1163</v>
      </c>
      <c r="F1731" s="155" t="str">
        <f>_xlfn.XLOOKUP(B1731,STUDIES!$A$3:$A$1063,STUDIES!$G$3:$G$1063,"Not Found!")</f>
        <v>A</v>
      </c>
      <c r="G1731" s="273" t="s">
        <v>147</v>
      </c>
      <c r="H1731" s="273">
        <v>16</v>
      </c>
      <c r="I1731" s="273">
        <v>141</v>
      </c>
      <c r="J1731" s="274">
        <v>1</v>
      </c>
    </row>
    <row r="1732" spans="1:37" ht="18" customHeight="1" x14ac:dyDescent="0.35">
      <c r="A1732" s="274">
        <f>MATCH(B1732,STUDIES!$A$3:$A$502,0)</f>
        <v>79</v>
      </c>
      <c r="B1732" s="86" t="s">
        <v>1638</v>
      </c>
      <c r="C1732" s="465"/>
      <c r="D1732" s="230" t="s">
        <v>1073</v>
      </c>
      <c r="E1732" s="272" t="s">
        <v>1163</v>
      </c>
      <c r="F1732" s="155" t="str">
        <f>_xlfn.XLOOKUP(B1732,STUDIES!$A$3:$A$1063,STUDIES!$G$3:$G$1063,"Not Found!")</f>
        <v>A</v>
      </c>
      <c r="G1732" s="273" t="s">
        <v>147</v>
      </c>
      <c r="H1732" s="273">
        <v>16</v>
      </c>
      <c r="I1732" s="273">
        <v>282</v>
      </c>
      <c r="J1732" s="274">
        <v>6</v>
      </c>
    </row>
    <row r="1733" spans="1:37" ht="18" customHeight="1" x14ac:dyDescent="0.35">
      <c r="A1733" s="274">
        <f>MATCH(B1733,STUDIES!$A$3:$A$502,0)</f>
        <v>79</v>
      </c>
      <c r="B1733" s="86" t="s">
        <v>1638</v>
      </c>
      <c r="C1733" s="465"/>
      <c r="D1733" s="232" t="s">
        <v>148</v>
      </c>
      <c r="E1733" s="272" t="s">
        <v>1167</v>
      </c>
      <c r="F1733" s="155" t="str">
        <f>_xlfn.XLOOKUP(B1733,STUDIES!$A$3:$A$1063,STUDIES!$G$3:$G$1063,"Not Found!")</f>
        <v>A</v>
      </c>
      <c r="G1733" s="273" t="s">
        <v>147</v>
      </c>
      <c r="H1733" s="273">
        <v>16</v>
      </c>
      <c r="I1733" s="273">
        <v>141</v>
      </c>
      <c r="J1733" s="274">
        <v>1</v>
      </c>
    </row>
    <row r="1734" spans="1:37" ht="18" customHeight="1" x14ac:dyDescent="0.35">
      <c r="A1734" s="274">
        <f>MATCH(B1734,STUDIES!$A$3:$A$502,0)</f>
        <v>79</v>
      </c>
      <c r="B1734" s="86" t="s">
        <v>1638</v>
      </c>
      <c r="C1734" s="465"/>
      <c r="D1734" s="230" t="s">
        <v>1073</v>
      </c>
      <c r="E1734" s="272" t="s">
        <v>1167</v>
      </c>
      <c r="F1734" s="155" t="str">
        <f>_xlfn.XLOOKUP(B1734,STUDIES!$A$3:$A$1063,STUDIES!$G$3:$G$1063,"Not Found!")</f>
        <v>A</v>
      </c>
      <c r="G1734" s="273" t="s">
        <v>147</v>
      </c>
      <c r="H1734" s="273">
        <v>16</v>
      </c>
      <c r="I1734" s="273">
        <v>282</v>
      </c>
      <c r="J1734" s="274">
        <v>2</v>
      </c>
    </row>
    <row r="1735" spans="1:37" ht="18" customHeight="1" x14ac:dyDescent="0.35">
      <c r="A1735" s="274">
        <f>MATCH(B1735,STUDIES!$A$3:$A$502,0)</f>
        <v>60</v>
      </c>
      <c r="B1735" s="272" t="s">
        <v>1211</v>
      </c>
      <c r="D1735" s="281" t="s">
        <v>148</v>
      </c>
      <c r="E1735" s="272" t="s">
        <v>1268</v>
      </c>
      <c r="F1735" s="155" t="str">
        <f>_xlfn.XLOOKUP(B1735,STUDIES!$A$3:$A$1063,STUDIES!$G$3:$G$1063,"Not Found!")</f>
        <v>A</v>
      </c>
      <c r="G1735" s="273" t="s">
        <v>147</v>
      </c>
      <c r="H1735" s="273">
        <v>16</v>
      </c>
      <c r="I1735" s="273">
        <v>108</v>
      </c>
      <c r="J1735" s="274">
        <v>21</v>
      </c>
    </row>
    <row r="1736" spans="1:37" ht="18" customHeight="1" x14ac:dyDescent="0.35">
      <c r="A1736" s="274">
        <f>MATCH(B1736,STUDIES!$A$3:$A$502,0)</f>
        <v>60</v>
      </c>
      <c r="B1736" s="272" t="s">
        <v>1211</v>
      </c>
      <c r="D1736" s="281" t="s">
        <v>1096</v>
      </c>
      <c r="E1736" s="272" t="s">
        <v>1268</v>
      </c>
      <c r="F1736" s="155" t="str">
        <f>_xlfn.XLOOKUP(B1736,STUDIES!$A$3:$A$1063,STUDIES!$G$3:$G$1063,"Not Found!")</f>
        <v>A</v>
      </c>
      <c r="G1736" s="273" t="s">
        <v>147</v>
      </c>
      <c r="H1736" s="273">
        <v>16</v>
      </c>
      <c r="I1736" s="273">
        <v>106</v>
      </c>
      <c r="J1736" s="274">
        <v>33</v>
      </c>
    </row>
    <row r="1737" spans="1:37" ht="18" customHeight="1" x14ac:dyDescent="0.35">
      <c r="A1737" s="274">
        <f>MATCH(B1737,STUDIES!$A$3:$A$502,0)</f>
        <v>72</v>
      </c>
      <c r="B1737" s="272" t="s">
        <v>1717</v>
      </c>
      <c r="D1737" s="281" t="s">
        <v>1056</v>
      </c>
      <c r="E1737" s="272" t="s">
        <v>1167</v>
      </c>
      <c r="F1737" s="155" t="str">
        <f>_xlfn.XLOOKUP(B1737,STUDIES!$A$3:$A$1063,STUDIES!$G$3:$G$1063,"Not Found!")</f>
        <v>A</v>
      </c>
      <c r="G1737" s="273" t="s">
        <v>147</v>
      </c>
      <c r="H1737" s="273">
        <v>12</v>
      </c>
      <c r="I1737" s="273">
        <v>127</v>
      </c>
      <c r="J1737" s="274">
        <v>3</v>
      </c>
    </row>
    <row r="1738" spans="1:37" ht="18" customHeight="1" x14ac:dyDescent="0.35">
      <c r="A1738" s="274">
        <f>MATCH(B1738,STUDIES!$A$3:$A$502,0)</f>
        <v>72</v>
      </c>
      <c r="B1738" s="272" t="s">
        <v>1717</v>
      </c>
      <c r="D1738" s="281" t="s">
        <v>148</v>
      </c>
      <c r="E1738" s="272" t="s">
        <v>1167</v>
      </c>
      <c r="F1738" s="155" t="str">
        <f>_xlfn.XLOOKUP(B1738,STUDIES!$A$3:$A$1063,STUDIES!$G$3:$G$1063,"Not Found!")</f>
        <v>A</v>
      </c>
      <c r="G1738" s="273" t="s">
        <v>147</v>
      </c>
      <c r="H1738" s="273">
        <v>12</v>
      </c>
      <c r="I1738" s="273">
        <v>61</v>
      </c>
      <c r="J1738" s="274">
        <v>1</v>
      </c>
    </row>
    <row r="1739" spans="1:37" ht="18" customHeight="1" x14ac:dyDescent="0.35">
      <c r="A1739" s="274">
        <f>MATCH(B1739,STUDIES!$A$3:$A$502,0)</f>
        <v>73</v>
      </c>
      <c r="B1739" s="272" t="s">
        <v>1387</v>
      </c>
      <c r="D1739" s="281" t="s">
        <v>1393</v>
      </c>
      <c r="E1739" s="272" t="s">
        <v>151</v>
      </c>
      <c r="F1739" s="155" t="str">
        <f>_xlfn.XLOOKUP(B1739,STUDIES!$A$3:$A$1063,STUDIES!$G$3:$G$1063,"Not Found!")</f>
        <v>C</v>
      </c>
      <c r="G1739" s="273" t="s">
        <v>147</v>
      </c>
      <c r="H1739" s="273">
        <v>16</v>
      </c>
      <c r="I1739" s="273">
        <v>83</v>
      </c>
      <c r="K1739" s="268">
        <v>35.1</v>
      </c>
      <c r="M1739" s="268">
        <v>13.9</v>
      </c>
      <c r="AJ1739" s="276">
        <v>-70</v>
      </c>
      <c r="AK1739" s="268">
        <v>4.9000000000000004</v>
      </c>
    </row>
    <row r="1740" spans="1:37" ht="18" customHeight="1" x14ac:dyDescent="0.35">
      <c r="A1740" s="274">
        <f>MATCH(B1740,STUDIES!$A$3:$A$502,0)</f>
        <v>73</v>
      </c>
      <c r="B1740" s="272" t="s">
        <v>1387</v>
      </c>
      <c r="D1740" s="281" t="s">
        <v>148</v>
      </c>
      <c r="E1740" s="272" t="s">
        <v>151</v>
      </c>
      <c r="F1740" s="155" t="str">
        <f>_xlfn.XLOOKUP(B1740,STUDIES!$A$3:$A$1063,STUDIES!$G$3:$G$1063,"Not Found!")</f>
        <v>C</v>
      </c>
      <c r="G1740" s="273" t="s">
        <v>147</v>
      </c>
      <c r="H1740" s="273">
        <v>16</v>
      </c>
      <c r="I1740" s="273">
        <v>79</v>
      </c>
      <c r="K1740" s="268">
        <v>33.1</v>
      </c>
      <c r="M1740" s="268">
        <v>12.2</v>
      </c>
      <c r="AJ1740" s="276">
        <v>-19.600000000000001</v>
      </c>
      <c r="AK1740" s="268">
        <v>5.0999999999999996</v>
      </c>
    </row>
    <row r="1741" spans="1:37" ht="18" customHeight="1" x14ac:dyDescent="0.35">
      <c r="A1741" s="274">
        <f>MATCH(B1741,STUDIES!$A$3:$A$502,0)</f>
        <v>73</v>
      </c>
      <c r="B1741" s="272" t="s">
        <v>1387</v>
      </c>
      <c r="D1741" s="281" t="s">
        <v>1393</v>
      </c>
      <c r="E1741" s="272" t="s">
        <v>288</v>
      </c>
      <c r="F1741" s="155" t="str">
        <f>_xlfn.XLOOKUP(B1741,STUDIES!$A$3:$A$1063,STUDIES!$G$3:$G$1063,"Not Found!")</f>
        <v>C</v>
      </c>
      <c r="G1741" s="273" t="s">
        <v>147</v>
      </c>
      <c r="H1741" s="273">
        <v>16</v>
      </c>
      <c r="I1741" s="273">
        <v>83</v>
      </c>
      <c r="K1741" s="268">
        <v>7.5</v>
      </c>
      <c r="M1741" s="268">
        <v>1.3</v>
      </c>
      <c r="AJ1741" s="276">
        <v>-49.4</v>
      </c>
      <c r="AK1741" s="268">
        <v>5</v>
      </c>
    </row>
    <row r="1742" spans="1:37" ht="18" customHeight="1" x14ac:dyDescent="0.35">
      <c r="A1742" s="274">
        <f>MATCH(B1742,STUDIES!$A$3:$A$502,0)</f>
        <v>73</v>
      </c>
      <c r="B1742" s="272" t="s">
        <v>1387</v>
      </c>
      <c r="D1742" s="281" t="s">
        <v>148</v>
      </c>
      <c r="E1742" s="272" t="s">
        <v>288</v>
      </c>
      <c r="F1742" s="155" t="str">
        <f>_xlfn.XLOOKUP(B1742,STUDIES!$A$3:$A$1063,STUDIES!$G$3:$G$1063,"Not Found!")</f>
        <v>C</v>
      </c>
      <c r="G1742" s="273" t="s">
        <v>147</v>
      </c>
      <c r="H1742" s="273">
        <v>16</v>
      </c>
      <c r="I1742" s="273">
        <v>79</v>
      </c>
      <c r="K1742" s="268">
        <v>7.6</v>
      </c>
      <c r="M1742" s="268">
        <v>1.5</v>
      </c>
      <c r="AJ1742" s="276">
        <v>-2.2000000000000002</v>
      </c>
      <c r="AK1742" s="268">
        <v>5.2</v>
      </c>
    </row>
    <row r="1743" spans="1:37" ht="18" customHeight="1" x14ac:dyDescent="0.35">
      <c r="A1743" s="274">
        <f>MATCH(B1743,STUDIES!$A$3:$A$502,0)</f>
        <v>73</v>
      </c>
      <c r="B1743" s="272" t="s">
        <v>1387</v>
      </c>
      <c r="D1743" s="281" t="s">
        <v>1393</v>
      </c>
      <c r="E1743" s="272" t="s">
        <v>1258</v>
      </c>
      <c r="F1743" s="155" t="str">
        <f>_xlfn.XLOOKUP(B1743,STUDIES!$A$3:$A$1063,STUDIES!$G$3:$G$1063,"Not Found!")</f>
        <v>C</v>
      </c>
      <c r="G1743" s="273" t="s">
        <v>147</v>
      </c>
      <c r="H1743" s="273">
        <v>16</v>
      </c>
      <c r="I1743" s="273">
        <v>83</v>
      </c>
      <c r="J1743" s="274">
        <v>57</v>
      </c>
    </row>
    <row r="1744" spans="1:37" ht="18" customHeight="1" x14ac:dyDescent="0.35">
      <c r="A1744" s="274">
        <f>MATCH(B1744,STUDIES!$A$3:$A$502,0)</f>
        <v>73</v>
      </c>
      <c r="B1744" s="272" t="s">
        <v>1387</v>
      </c>
      <c r="D1744" s="281" t="s">
        <v>148</v>
      </c>
      <c r="E1744" s="272" t="s">
        <v>1258</v>
      </c>
      <c r="F1744" s="155" t="str">
        <f>_xlfn.XLOOKUP(B1744,STUDIES!$A$3:$A$1063,STUDIES!$G$3:$G$1063,"Not Found!")</f>
        <v>C</v>
      </c>
      <c r="G1744" s="273" t="s">
        <v>147</v>
      </c>
      <c r="H1744" s="273">
        <v>16</v>
      </c>
      <c r="I1744" s="273">
        <v>79</v>
      </c>
      <c r="J1744" s="274">
        <v>16</v>
      </c>
    </row>
    <row r="1745" spans="1:20" ht="18" customHeight="1" x14ac:dyDescent="0.35">
      <c r="A1745" s="274">
        <f>MATCH(B1745,STUDIES!$A$3:$A$502,0)</f>
        <v>73</v>
      </c>
      <c r="B1745" s="272" t="s">
        <v>1387</v>
      </c>
      <c r="D1745" s="281" t="s">
        <v>1393</v>
      </c>
      <c r="E1745" s="272" t="s">
        <v>1244</v>
      </c>
      <c r="F1745" s="155" t="str">
        <f>_xlfn.XLOOKUP(B1745,STUDIES!$A$3:$A$1063,STUDIES!$G$3:$G$1063,"Not Found!")</f>
        <v>C</v>
      </c>
      <c r="G1745" s="273" t="s">
        <v>147</v>
      </c>
      <c r="H1745" s="273">
        <v>16</v>
      </c>
      <c r="I1745" s="273">
        <v>83</v>
      </c>
      <c r="J1745" s="274">
        <v>21</v>
      </c>
    </row>
    <row r="1746" spans="1:20" ht="18" customHeight="1" x14ac:dyDescent="0.35">
      <c r="A1746" s="274">
        <f>MATCH(B1746,STUDIES!$A$3:$A$502,0)</f>
        <v>73</v>
      </c>
      <c r="B1746" s="272" t="s">
        <v>1387</v>
      </c>
      <c r="D1746" s="281" t="s">
        <v>148</v>
      </c>
      <c r="E1746" s="272" t="s">
        <v>1244</v>
      </c>
      <c r="F1746" s="155" t="str">
        <f>_xlfn.XLOOKUP(B1746,STUDIES!$A$3:$A$1063,STUDIES!$G$3:$G$1063,"Not Found!")</f>
        <v>C</v>
      </c>
      <c r="G1746" s="273" t="s">
        <v>147</v>
      </c>
      <c r="H1746" s="273">
        <v>16</v>
      </c>
      <c r="I1746" s="273">
        <v>79</v>
      </c>
      <c r="J1746" s="274">
        <v>2</v>
      </c>
    </row>
    <row r="1747" spans="1:20" ht="18" customHeight="1" x14ac:dyDescent="0.35">
      <c r="A1747" s="274">
        <f>MATCH(B1747,STUDIES!$A$3:$A$502,0)</f>
        <v>73</v>
      </c>
      <c r="B1747" s="272" t="s">
        <v>1387</v>
      </c>
      <c r="D1747" s="281" t="s">
        <v>1393</v>
      </c>
      <c r="E1747" s="272" t="s">
        <v>153</v>
      </c>
      <c r="F1747" s="155" t="str">
        <f>_xlfn.XLOOKUP(B1747,STUDIES!$A$3:$A$1063,STUDIES!$G$3:$G$1063,"Not Found!")</f>
        <v>C</v>
      </c>
      <c r="G1747" s="273" t="s">
        <v>147</v>
      </c>
      <c r="H1747" s="273">
        <v>16</v>
      </c>
      <c r="I1747" s="273">
        <v>83</v>
      </c>
      <c r="R1747" s="283">
        <v>-12.9</v>
      </c>
      <c r="S1747" s="268">
        <v>0.9</v>
      </c>
    </row>
    <row r="1748" spans="1:20" ht="18" customHeight="1" x14ac:dyDescent="0.35">
      <c r="A1748" s="274">
        <f>MATCH(B1748,STUDIES!$A$3:$A$502,0)</f>
        <v>73</v>
      </c>
      <c r="B1748" s="272" t="s">
        <v>1387</v>
      </c>
      <c r="D1748" s="281" t="s">
        <v>148</v>
      </c>
      <c r="E1748" s="272" t="s">
        <v>153</v>
      </c>
      <c r="F1748" s="155" t="str">
        <f>_xlfn.XLOOKUP(B1748,STUDIES!$A$3:$A$1063,STUDIES!$G$3:$G$1063,"Not Found!")</f>
        <v>C</v>
      </c>
      <c r="G1748" s="273" t="s">
        <v>147</v>
      </c>
      <c r="H1748" s="273">
        <v>16</v>
      </c>
      <c r="I1748" s="273">
        <v>79</v>
      </c>
      <c r="R1748" s="283">
        <v>-3.8</v>
      </c>
      <c r="S1748" s="268">
        <v>0.9</v>
      </c>
    </row>
    <row r="1749" spans="1:20" ht="18" customHeight="1" x14ac:dyDescent="0.35">
      <c r="A1749" s="274">
        <f>MATCH(B1749,STUDIES!$A$3:$A$502,0)</f>
        <v>73</v>
      </c>
      <c r="B1749" s="272" t="s">
        <v>1387</v>
      </c>
      <c r="D1749" s="281" t="s">
        <v>1393</v>
      </c>
      <c r="E1749" s="272" t="s">
        <v>694</v>
      </c>
      <c r="F1749" s="155" t="str">
        <f>_xlfn.XLOOKUP(B1749,STUDIES!$A$3:$A$1063,STUDIES!$G$3:$G$1063,"Not Found!")</f>
        <v>C</v>
      </c>
      <c r="G1749" s="273" t="s">
        <v>147</v>
      </c>
      <c r="H1749" s="273">
        <v>16</v>
      </c>
      <c r="I1749" s="273">
        <v>47</v>
      </c>
      <c r="R1749" s="283">
        <v>-10</v>
      </c>
      <c r="S1749" s="268">
        <v>1.6</v>
      </c>
    </row>
    <row r="1750" spans="1:20" ht="18" customHeight="1" x14ac:dyDescent="0.35">
      <c r="A1750" s="274">
        <f>MATCH(B1750,STUDIES!$A$3:$A$502,0)</f>
        <v>73</v>
      </c>
      <c r="B1750" s="272" t="s">
        <v>1387</v>
      </c>
      <c r="D1750" s="281" t="s">
        <v>148</v>
      </c>
      <c r="E1750" s="272" t="s">
        <v>694</v>
      </c>
      <c r="F1750" s="155" t="str">
        <f>_xlfn.XLOOKUP(B1750,STUDIES!$A$3:$A$1063,STUDIES!$G$3:$G$1063,"Not Found!")</f>
        <v>C</v>
      </c>
      <c r="G1750" s="273" t="s">
        <v>147</v>
      </c>
      <c r="H1750" s="273">
        <v>16</v>
      </c>
      <c r="I1750" s="273">
        <v>38</v>
      </c>
      <c r="R1750" s="283">
        <v>-2.5</v>
      </c>
      <c r="S1750" s="268">
        <v>1.7</v>
      </c>
    </row>
    <row r="1751" spans="1:20" ht="18" customHeight="1" x14ac:dyDescent="0.35">
      <c r="A1751" s="274">
        <f>MATCH(B1751,STUDIES!$A$3:$A$502,0)</f>
        <v>73</v>
      </c>
      <c r="B1751" s="272" t="s">
        <v>1387</v>
      </c>
      <c r="D1751" s="281" t="s">
        <v>1393</v>
      </c>
      <c r="E1751" s="272" t="s">
        <v>1579</v>
      </c>
      <c r="F1751" s="155" t="str">
        <f>_xlfn.XLOOKUP(B1751,STUDIES!$A$3:$A$1063,STUDIES!$G$3:$G$1063,"Not Found!")</f>
        <v>C</v>
      </c>
      <c r="G1751" s="273" t="s">
        <v>147</v>
      </c>
      <c r="H1751" s="273">
        <v>16</v>
      </c>
      <c r="I1751" s="273">
        <v>36</v>
      </c>
      <c r="R1751" s="283">
        <v>-10.9</v>
      </c>
      <c r="S1751" s="268">
        <v>1.2</v>
      </c>
    </row>
    <row r="1752" spans="1:20" ht="18" customHeight="1" x14ac:dyDescent="0.35">
      <c r="A1752" s="274">
        <f>MATCH(B1752,STUDIES!$A$3:$A$502,0)</f>
        <v>73</v>
      </c>
      <c r="B1752" s="272" t="s">
        <v>1387</v>
      </c>
      <c r="D1752" s="281" t="s">
        <v>148</v>
      </c>
      <c r="E1752" s="272" t="s">
        <v>1579</v>
      </c>
      <c r="F1752" s="155" t="str">
        <f>_xlfn.XLOOKUP(B1752,STUDIES!$A$3:$A$1063,STUDIES!$G$3:$G$1063,"Not Found!")</f>
        <v>C</v>
      </c>
      <c r="G1752" s="273" t="s">
        <v>147</v>
      </c>
      <c r="H1752" s="273">
        <v>16</v>
      </c>
      <c r="I1752" s="273">
        <v>31</v>
      </c>
      <c r="R1752" s="283">
        <v>-2</v>
      </c>
      <c r="S1752" s="268">
        <v>1.1000000000000001</v>
      </c>
    </row>
    <row r="1753" spans="1:20" ht="18" customHeight="1" x14ac:dyDescent="0.35">
      <c r="A1753" s="274">
        <f>MATCH(B1753,STUDIES!$A$3:$A$502,0)</f>
        <v>80</v>
      </c>
      <c r="B1753" s="86" t="s">
        <v>1585</v>
      </c>
      <c r="C1753" s="465"/>
      <c r="D1753" s="232" t="s">
        <v>1588</v>
      </c>
      <c r="E1753" s="272" t="s">
        <v>151</v>
      </c>
      <c r="F1753" s="155" t="str">
        <f>_xlfn.XLOOKUP(B1753,STUDIES!$A$3:$A$1063,STUDIES!$G$3:$G$1063,"Not Found!")</f>
        <v>A</v>
      </c>
      <c r="G1753" s="273" t="s">
        <v>147</v>
      </c>
      <c r="H1753" s="273">
        <v>12</v>
      </c>
      <c r="I1753" s="273">
        <v>61</v>
      </c>
      <c r="R1753" s="283">
        <v>-15.8</v>
      </c>
      <c r="T1753" s="268">
        <v>10.88</v>
      </c>
    </row>
    <row r="1754" spans="1:20" ht="18" customHeight="1" x14ac:dyDescent="0.35">
      <c r="A1754" s="274">
        <f>MATCH(B1754,STUDIES!$A$3:$A$502,0)</f>
        <v>80</v>
      </c>
      <c r="B1754" s="86" t="s">
        <v>1585</v>
      </c>
      <c r="C1754" s="465"/>
      <c r="D1754" s="232" t="s">
        <v>1590</v>
      </c>
      <c r="E1754" s="272" t="s">
        <v>151</v>
      </c>
      <c r="F1754" s="155" t="str">
        <f>_xlfn.XLOOKUP(B1754,STUDIES!$A$3:$A$1063,STUDIES!$G$3:$G$1063,"Not Found!")</f>
        <v>A</v>
      </c>
      <c r="G1754" s="273" t="s">
        <v>147</v>
      </c>
      <c r="H1754" s="273">
        <v>12</v>
      </c>
      <c r="I1754" s="273">
        <v>59</v>
      </c>
      <c r="R1754" s="283">
        <v>-15.8</v>
      </c>
      <c r="T1754" s="268">
        <v>9.82</v>
      </c>
    </row>
    <row r="1755" spans="1:20" ht="18" customHeight="1" x14ac:dyDescent="0.35">
      <c r="A1755" s="274">
        <f>MATCH(B1755,STUDIES!$A$3:$A$502,0)</f>
        <v>80</v>
      </c>
      <c r="B1755" s="86" t="s">
        <v>1585</v>
      </c>
      <c r="C1755" s="465"/>
      <c r="D1755" s="232" t="s">
        <v>1589</v>
      </c>
      <c r="E1755" s="272" t="s">
        <v>151</v>
      </c>
      <c r="F1755" s="155" t="str">
        <f>_xlfn.XLOOKUP(B1755,STUDIES!$A$3:$A$1063,STUDIES!$G$3:$G$1063,"Not Found!")</f>
        <v>A</v>
      </c>
      <c r="G1755" s="273" t="s">
        <v>147</v>
      </c>
      <c r="H1755" s="273">
        <v>12</v>
      </c>
      <c r="I1755" s="273">
        <v>63</v>
      </c>
      <c r="R1755" s="283">
        <v>-17.5</v>
      </c>
      <c r="T1755" s="268">
        <v>11.6</v>
      </c>
    </row>
    <row r="1756" spans="1:20" ht="18" customHeight="1" x14ac:dyDescent="0.35">
      <c r="A1756" s="274">
        <f>MATCH(B1756,STUDIES!$A$3:$A$502,0)</f>
        <v>80</v>
      </c>
      <c r="B1756" s="86" t="s">
        <v>1585</v>
      </c>
      <c r="C1756" s="465"/>
      <c r="D1756" s="232" t="s">
        <v>148</v>
      </c>
      <c r="E1756" s="272" t="s">
        <v>151</v>
      </c>
      <c r="F1756" s="155" t="str">
        <f>_xlfn.XLOOKUP(B1756,STUDIES!$A$3:$A$1063,STUDIES!$G$3:$G$1063,"Not Found!")</f>
        <v>A</v>
      </c>
      <c r="G1756" s="273" t="s">
        <v>147</v>
      </c>
      <c r="H1756" s="273">
        <v>12</v>
      </c>
      <c r="I1756" s="273">
        <v>60</v>
      </c>
      <c r="R1756" s="283">
        <v>-13.1</v>
      </c>
      <c r="T1756" s="268">
        <v>11.87</v>
      </c>
    </row>
    <row r="1757" spans="1:20" ht="18" customHeight="1" x14ac:dyDescent="0.35">
      <c r="A1757" s="274">
        <f>MATCH(B1757,STUDIES!$A$3:$A$502,0)</f>
        <v>80</v>
      </c>
      <c r="B1757" s="86" t="s">
        <v>1585</v>
      </c>
      <c r="C1757" s="465"/>
      <c r="D1757" s="232" t="s">
        <v>1588</v>
      </c>
      <c r="E1757" s="272" t="s">
        <v>1243</v>
      </c>
      <c r="F1757" s="155" t="str">
        <f>_xlfn.XLOOKUP(B1757,STUDIES!$A$3:$A$1063,STUDIES!$G$3:$G$1063,"Not Found!")</f>
        <v>A</v>
      </c>
      <c r="G1757" s="273" t="s">
        <v>147</v>
      </c>
      <c r="H1757" s="273">
        <v>12</v>
      </c>
      <c r="I1757" s="273">
        <v>61</v>
      </c>
      <c r="J1757" s="274">
        <f>0.49*61</f>
        <v>29.89</v>
      </c>
    </row>
    <row r="1758" spans="1:20" ht="18" customHeight="1" x14ac:dyDescent="0.35">
      <c r="A1758" s="274">
        <f>MATCH(B1758,STUDIES!$A$3:$A$502,0)</f>
        <v>80</v>
      </c>
      <c r="B1758" s="86" t="s">
        <v>1585</v>
      </c>
      <c r="C1758" s="465"/>
      <c r="D1758" s="232" t="s">
        <v>1590</v>
      </c>
      <c r="E1758" s="272" t="s">
        <v>1243</v>
      </c>
      <c r="F1758" s="155" t="str">
        <f>_xlfn.XLOOKUP(B1758,STUDIES!$A$3:$A$1063,STUDIES!$G$3:$G$1063,"Not Found!")</f>
        <v>A</v>
      </c>
      <c r="G1758" s="273" t="s">
        <v>147</v>
      </c>
      <c r="H1758" s="273">
        <v>12</v>
      </c>
      <c r="I1758" s="273">
        <v>59</v>
      </c>
      <c r="J1758" s="274">
        <f>0.489*I1758</f>
        <v>28.850999999999999</v>
      </c>
    </row>
    <row r="1759" spans="1:20" ht="18" customHeight="1" x14ac:dyDescent="0.35">
      <c r="A1759" s="274">
        <f>MATCH(B1759,STUDIES!$A$3:$A$502,0)</f>
        <v>80</v>
      </c>
      <c r="B1759" s="86" t="s">
        <v>1585</v>
      </c>
      <c r="C1759" s="465"/>
      <c r="D1759" s="232" t="s">
        <v>1589</v>
      </c>
      <c r="E1759" s="272" t="s">
        <v>1243</v>
      </c>
      <c r="F1759" s="155" t="str">
        <f>_xlfn.XLOOKUP(B1759,STUDIES!$A$3:$A$1063,STUDIES!$G$3:$G$1063,"Not Found!")</f>
        <v>A</v>
      </c>
      <c r="G1759" s="273" t="s">
        <v>147</v>
      </c>
      <c r="H1759" s="273">
        <v>12</v>
      </c>
      <c r="I1759" s="273">
        <v>63</v>
      </c>
      <c r="J1759" s="274">
        <f>0.488*I1759</f>
        <v>30.744</v>
      </c>
    </row>
    <row r="1760" spans="1:20" ht="18" customHeight="1" x14ac:dyDescent="0.35">
      <c r="A1760" s="274">
        <f>MATCH(B1760,STUDIES!$A$3:$A$502,0)</f>
        <v>80</v>
      </c>
      <c r="B1760" s="86" t="s">
        <v>1585</v>
      </c>
      <c r="C1760" s="465"/>
      <c r="D1760" s="232" t="s">
        <v>148</v>
      </c>
      <c r="E1760" s="272" t="s">
        <v>1243</v>
      </c>
      <c r="F1760" s="155" t="str">
        <f>_xlfn.XLOOKUP(B1760,STUDIES!$A$3:$A$1063,STUDIES!$G$3:$G$1063,"Not Found!")</f>
        <v>A</v>
      </c>
      <c r="G1760" s="273" t="s">
        <v>147</v>
      </c>
      <c r="H1760" s="273">
        <v>12</v>
      </c>
      <c r="I1760" s="273">
        <v>60</v>
      </c>
      <c r="J1760" s="274">
        <f>0.381*I1760</f>
        <v>22.86</v>
      </c>
    </row>
    <row r="1761" spans="1:20" ht="18" customHeight="1" x14ac:dyDescent="0.35">
      <c r="A1761" s="274">
        <f>MATCH(B1761,STUDIES!$A$3:$A$502,0)</f>
        <v>80</v>
      </c>
      <c r="B1761" s="86" t="s">
        <v>1585</v>
      </c>
      <c r="C1761" s="465"/>
      <c r="D1761" s="232" t="s">
        <v>1588</v>
      </c>
      <c r="E1761" s="272" t="s">
        <v>1268</v>
      </c>
      <c r="F1761" s="155" t="str">
        <f>_xlfn.XLOOKUP(B1761,STUDIES!$A$3:$A$1063,STUDIES!$G$3:$G$1063,"Not Found!")</f>
        <v>A</v>
      </c>
      <c r="G1761" s="273" t="s">
        <v>147</v>
      </c>
      <c r="H1761" s="273">
        <v>12</v>
      </c>
      <c r="I1761" s="273">
        <v>49</v>
      </c>
      <c r="J1761" s="274">
        <f>0.265*I1761</f>
        <v>12.985000000000001</v>
      </c>
    </row>
    <row r="1762" spans="1:20" ht="18" customHeight="1" x14ac:dyDescent="0.35">
      <c r="A1762" s="274">
        <f>MATCH(B1762,STUDIES!$A$3:$A$502,0)</f>
        <v>80</v>
      </c>
      <c r="B1762" s="86" t="s">
        <v>1585</v>
      </c>
      <c r="C1762" s="465"/>
      <c r="D1762" s="232" t="s">
        <v>1590</v>
      </c>
      <c r="E1762" s="272" t="s">
        <v>1268</v>
      </c>
      <c r="F1762" s="155" t="str">
        <f>_xlfn.XLOOKUP(B1762,STUDIES!$A$3:$A$1063,STUDIES!$G$3:$G$1063,"Not Found!")</f>
        <v>A</v>
      </c>
      <c r="G1762" s="273" t="s">
        <v>147</v>
      </c>
      <c r="H1762" s="273">
        <v>12</v>
      </c>
      <c r="I1762" s="273">
        <v>47</v>
      </c>
      <c r="J1762" s="274">
        <f>0.298*I1762</f>
        <v>14.006</v>
      </c>
    </row>
    <row r="1763" spans="1:20" ht="18" customHeight="1" x14ac:dyDescent="0.35">
      <c r="A1763" s="274">
        <f>MATCH(B1763,STUDIES!$A$3:$A$502,0)</f>
        <v>80</v>
      </c>
      <c r="B1763" s="86" t="s">
        <v>1585</v>
      </c>
      <c r="C1763" s="465"/>
      <c r="D1763" s="232" t="s">
        <v>1589</v>
      </c>
      <c r="E1763" s="272" t="s">
        <v>1268</v>
      </c>
      <c r="F1763" s="155" t="str">
        <f>_xlfn.XLOOKUP(B1763,STUDIES!$A$3:$A$1063,STUDIES!$G$3:$G$1063,"Not Found!")</f>
        <v>A</v>
      </c>
      <c r="G1763" s="273" t="s">
        <v>147</v>
      </c>
      <c r="H1763" s="273">
        <v>12</v>
      </c>
      <c r="I1763" s="273">
        <v>43</v>
      </c>
      <c r="J1763" s="274">
        <f>0.233*I1763</f>
        <v>10.019</v>
      </c>
    </row>
    <row r="1764" spans="1:20" ht="18" customHeight="1" x14ac:dyDescent="0.35">
      <c r="A1764" s="274">
        <f>MATCH(B1764,STUDIES!$A$3:$A$502,0)</f>
        <v>80</v>
      </c>
      <c r="B1764" s="86" t="s">
        <v>1585</v>
      </c>
      <c r="C1764" s="465"/>
      <c r="D1764" s="232" t="s">
        <v>148</v>
      </c>
      <c r="E1764" s="272" t="s">
        <v>1268</v>
      </c>
      <c r="F1764" s="155" t="str">
        <f>_xlfn.XLOOKUP(B1764,STUDIES!$A$3:$A$1063,STUDIES!$G$3:$G$1063,"Not Found!")</f>
        <v>A</v>
      </c>
      <c r="G1764" s="273" t="s">
        <v>147</v>
      </c>
      <c r="H1764" s="273">
        <v>12</v>
      </c>
      <c r="I1764" s="273">
        <v>42</v>
      </c>
      <c r="J1764" s="274">
        <f>0.19*I1764</f>
        <v>7.98</v>
      </c>
    </row>
    <row r="1765" spans="1:20" ht="18" customHeight="1" x14ac:dyDescent="0.35">
      <c r="A1765" s="274">
        <f>MATCH(B1765,STUDIES!$A$3:$A$502,0)</f>
        <v>80</v>
      </c>
      <c r="B1765" s="86" t="s">
        <v>1585</v>
      </c>
      <c r="C1765" s="465"/>
      <c r="D1765" s="232" t="s">
        <v>1588</v>
      </c>
      <c r="E1765" s="272" t="s">
        <v>153</v>
      </c>
      <c r="F1765" s="155" t="str">
        <f>_xlfn.XLOOKUP(B1765,STUDIES!$A$3:$A$1063,STUDIES!$G$3:$G$1063,"Not Found!")</f>
        <v>A</v>
      </c>
      <c r="G1765" s="273" t="s">
        <v>147</v>
      </c>
      <c r="H1765" s="273">
        <v>12</v>
      </c>
      <c r="I1765" s="273">
        <v>49</v>
      </c>
      <c r="R1765" s="283">
        <v>-8.9</v>
      </c>
      <c r="T1765" s="268">
        <v>8.3699999999999992</v>
      </c>
    </row>
    <row r="1766" spans="1:20" ht="18" customHeight="1" x14ac:dyDescent="0.35">
      <c r="A1766" s="274">
        <f>MATCH(B1766,STUDIES!$A$3:$A$502,0)</f>
        <v>80</v>
      </c>
      <c r="B1766" s="86" t="s">
        <v>1585</v>
      </c>
      <c r="C1766" s="465"/>
      <c r="D1766" s="232" t="s">
        <v>1590</v>
      </c>
      <c r="E1766" s="272" t="s">
        <v>153</v>
      </c>
      <c r="F1766" s="155" t="str">
        <f>_xlfn.XLOOKUP(B1766,STUDIES!$A$3:$A$1063,STUDIES!$G$3:$G$1063,"Not Found!")</f>
        <v>A</v>
      </c>
      <c r="G1766" s="273" t="s">
        <v>147</v>
      </c>
      <c r="H1766" s="273">
        <v>12</v>
      </c>
      <c r="I1766" s="273">
        <v>47</v>
      </c>
      <c r="R1766" s="283">
        <v>-8.5</v>
      </c>
      <c r="T1766" s="268">
        <v>8.1</v>
      </c>
    </row>
    <row r="1767" spans="1:20" ht="18" customHeight="1" x14ac:dyDescent="0.35">
      <c r="A1767" s="274">
        <f>MATCH(B1767,STUDIES!$A$3:$A$502,0)</f>
        <v>80</v>
      </c>
      <c r="B1767" s="86" t="s">
        <v>1585</v>
      </c>
      <c r="C1767" s="465"/>
      <c r="D1767" s="232" t="s">
        <v>1589</v>
      </c>
      <c r="E1767" s="272" t="s">
        <v>153</v>
      </c>
      <c r="F1767" s="155" t="str">
        <f>_xlfn.XLOOKUP(B1767,STUDIES!$A$3:$A$1063,STUDIES!$G$3:$G$1063,"Not Found!")</f>
        <v>A</v>
      </c>
      <c r="G1767" s="273" t="s">
        <v>147</v>
      </c>
      <c r="H1767" s="273">
        <v>12</v>
      </c>
      <c r="I1767" s="273">
        <v>42</v>
      </c>
      <c r="R1767" s="283">
        <v>-9.1</v>
      </c>
      <c r="T1767" s="268">
        <v>7.91</v>
      </c>
    </row>
    <row r="1768" spans="1:20" ht="18" customHeight="1" x14ac:dyDescent="0.35">
      <c r="A1768" s="274">
        <f>MATCH(B1768,STUDIES!$A$3:$A$502,0)</f>
        <v>80</v>
      </c>
      <c r="B1768" s="86" t="s">
        <v>1585</v>
      </c>
      <c r="C1768" s="465"/>
      <c r="D1768" s="232" t="s">
        <v>148</v>
      </c>
      <c r="E1768" s="272" t="s">
        <v>153</v>
      </c>
      <c r="F1768" s="155" t="str">
        <f>_xlfn.XLOOKUP(B1768,STUDIES!$A$3:$A$1063,STUDIES!$G$3:$G$1063,"Not Found!")</f>
        <v>A</v>
      </c>
      <c r="G1768" s="273" t="s">
        <v>147</v>
      </c>
      <c r="H1768" s="273">
        <v>12</v>
      </c>
      <c r="I1768" s="273">
        <v>41</v>
      </c>
      <c r="R1768" s="283">
        <v>-5.4</v>
      </c>
      <c r="T1768" s="268">
        <v>6.47</v>
      </c>
    </row>
    <row r="1769" spans="1:20" ht="18" customHeight="1" x14ac:dyDescent="0.35">
      <c r="A1769" s="274">
        <f>MATCH(B1769,STUDIES!$A$3:$A$502,0)</f>
        <v>80</v>
      </c>
      <c r="B1769" s="86" t="s">
        <v>1585</v>
      </c>
      <c r="C1769" s="465"/>
      <c r="D1769" s="232" t="s">
        <v>1588</v>
      </c>
      <c r="E1769" s="272" t="s">
        <v>154</v>
      </c>
      <c r="F1769" s="155" t="str">
        <f>_xlfn.XLOOKUP(B1769,STUDIES!$A$3:$A$1063,STUDIES!$G$3:$G$1063,"Not Found!")</f>
        <v>A</v>
      </c>
      <c r="G1769" s="273" t="s">
        <v>147</v>
      </c>
      <c r="H1769" s="273">
        <v>12</v>
      </c>
      <c r="I1769" s="273">
        <v>49</v>
      </c>
      <c r="R1769" s="283">
        <v>-8.1</v>
      </c>
      <c r="T1769" s="268">
        <v>8.2799999999999994</v>
      </c>
    </row>
    <row r="1770" spans="1:20" ht="18" customHeight="1" x14ac:dyDescent="0.35">
      <c r="A1770" s="274">
        <f>MATCH(B1770,STUDIES!$A$3:$A$502,0)</f>
        <v>80</v>
      </c>
      <c r="B1770" s="86" t="s">
        <v>1585</v>
      </c>
      <c r="C1770" s="465"/>
      <c r="D1770" s="232" t="s">
        <v>1590</v>
      </c>
      <c r="E1770" s="272" t="s">
        <v>154</v>
      </c>
      <c r="F1770" s="155" t="str">
        <f>_xlfn.XLOOKUP(B1770,STUDIES!$A$3:$A$1063,STUDIES!$G$3:$G$1063,"Not Found!")</f>
        <v>A</v>
      </c>
      <c r="G1770" s="273" t="s">
        <v>147</v>
      </c>
      <c r="H1770" s="273">
        <v>12</v>
      </c>
      <c r="I1770" s="273">
        <v>47</v>
      </c>
      <c r="R1770" s="283">
        <v>-6.9</v>
      </c>
      <c r="T1770" s="268">
        <v>6.59</v>
      </c>
    </row>
    <row r="1771" spans="1:20" ht="18" customHeight="1" x14ac:dyDescent="0.35">
      <c r="A1771" s="274">
        <f>MATCH(B1771,STUDIES!$A$3:$A$502,0)</f>
        <v>80</v>
      </c>
      <c r="B1771" s="86" t="s">
        <v>1585</v>
      </c>
      <c r="C1771" s="465"/>
      <c r="D1771" s="232" t="s">
        <v>1589</v>
      </c>
      <c r="E1771" s="272" t="s">
        <v>154</v>
      </c>
      <c r="F1771" s="155" t="str">
        <f>_xlfn.XLOOKUP(B1771,STUDIES!$A$3:$A$1063,STUDIES!$G$3:$G$1063,"Not Found!")</f>
        <v>A</v>
      </c>
      <c r="G1771" s="273" t="s">
        <v>147</v>
      </c>
      <c r="H1771" s="273">
        <v>12</v>
      </c>
      <c r="I1771" s="273">
        <v>43</v>
      </c>
      <c r="R1771" s="283">
        <v>-8.5</v>
      </c>
      <c r="T1771" s="268">
        <v>5.64</v>
      </c>
    </row>
    <row r="1772" spans="1:20" ht="18" customHeight="1" x14ac:dyDescent="0.35">
      <c r="A1772" s="274">
        <f>MATCH(B1772,STUDIES!$A$3:$A$502,0)</f>
        <v>80</v>
      </c>
      <c r="B1772" s="86" t="s">
        <v>1585</v>
      </c>
      <c r="C1772" s="465"/>
      <c r="D1772" s="232" t="s">
        <v>148</v>
      </c>
      <c r="E1772" s="272" t="s">
        <v>154</v>
      </c>
      <c r="F1772" s="155" t="str">
        <f>_xlfn.XLOOKUP(B1772,STUDIES!$A$3:$A$1063,STUDIES!$G$3:$G$1063,"Not Found!")</f>
        <v>A</v>
      </c>
      <c r="G1772" s="273" t="s">
        <v>147</v>
      </c>
      <c r="H1772" s="273">
        <v>12</v>
      </c>
      <c r="I1772" s="273">
        <v>41</v>
      </c>
      <c r="R1772" s="283">
        <v>-5.5</v>
      </c>
      <c r="T1772" s="268">
        <v>6.48</v>
      </c>
    </row>
    <row r="1773" spans="1:20" ht="18" customHeight="1" x14ac:dyDescent="0.35">
      <c r="A1773" s="274">
        <f>MATCH(B1773,STUDIES!$A$3:$A$502,0)</f>
        <v>80</v>
      </c>
      <c r="B1773" s="86" t="s">
        <v>1585</v>
      </c>
      <c r="C1773" s="465"/>
      <c r="D1773" s="232" t="s">
        <v>1588</v>
      </c>
      <c r="E1773" s="272" t="s">
        <v>1163</v>
      </c>
      <c r="F1773" s="155" t="str">
        <f>_xlfn.XLOOKUP(B1773,STUDIES!$A$3:$A$1063,STUDIES!$G$3:$G$1063,"Not Found!")</f>
        <v>A</v>
      </c>
      <c r="G1773" s="273" t="s">
        <v>147</v>
      </c>
      <c r="H1773" s="273">
        <v>12</v>
      </c>
      <c r="I1773" s="273">
        <v>61</v>
      </c>
      <c r="J1773" s="274">
        <v>4</v>
      </c>
    </row>
    <row r="1774" spans="1:20" ht="18" customHeight="1" x14ac:dyDescent="0.35">
      <c r="A1774" s="274">
        <f>MATCH(B1774,STUDIES!$A$3:$A$502,0)</f>
        <v>80</v>
      </c>
      <c r="B1774" s="86" t="s">
        <v>1585</v>
      </c>
      <c r="C1774" s="465"/>
      <c r="D1774" s="232" t="s">
        <v>1590</v>
      </c>
      <c r="E1774" s="272" t="s">
        <v>1163</v>
      </c>
      <c r="F1774" s="155" t="str">
        <f>_xlfn.XLOOKUP(B1774,STUDIES!$A$3:$A$1063,STUDIES!$G$3:$G$1063,"Not Found!")</f>
        <v>A</v>
      </c>
      <c r="G1774" s="273" t="s">
        <v>147</v>
      </c>
      <c r="H1774" s="273">
        <v>12</v>
      </c>
      <c r="I1774" s="273">
        <v>59</v>
      </c>
      <c r="J1774" s="274">
        <v>0</v>
      </c>
    </row>
    <row r="1775" spans="1:20" ht="18" customHeight="1" x14ac:dyDescent="0.35">
      <c r="A1775" s="274">
        <f>MATCH(B1775,STUDIES!$A$3:$A$502,0)</f>
        <v>80</v>
      </c>
      <c r="B1775" s="86" t="s">
        <v>1585</v>
      </c>
      <c r="C1775" s="465"/>
      <c r="D1775" s="232" t="s">
        <v>1589</v>
      </c>
      <c r="E1775" s="272" t="s">
        <v>1163</v>
      </c>
      <c r="F1775" s="155" t="str">
        <f>_xlfn.XLOOKUP(B1775,STUDIES!$A$3:$A$1063,STUDIES!$G$3:$G$1063,"Not Found!")</f>
        <v>A</v>
      </c>
      <c r="G1775" s="273" t="s">
        <v>147</v>
      </c>
      <c r="H1775" s="273">
        <v>12</v>
      </c>
      <c r="I1775" s="273">
        <v>63</v>
      </c>
      <c r="J1775" s="274">
        <v>2</v>
      </c>
    </row>
    <row r="1776" spans="1:20" ht="18" customHeight="1" x14ac:dyDescent="0.35">
      <c r="A1776" s="274">
        <f>MATCH(B1776,STUDIES!$A$3:$A$502,0)</f>
        <v>80</v>
      </c>
      <c r="B1776" s="86" t="s">
        <v>1585</v>
      </c>
      <c r="C1776" s="465"/>
      <c r="D1776" s="232" t="s">
        <v>148</v>
      </c>
      <c r="E1776" s="272" t="s">
        <v>1163</v>
      </c>
      <c r="F1776" s="155" t="str">
        <f>_xlfn.XLOOKUP(B1776,STUDIES!$A$3:$A$1063,STUDIES!$G$3:$G$1063,"Not Found!")</f>
        <v>A</v>
      </c>
      <c r="G1776" s="273" t="s">
        <v>147</v>
      </c>
      <c r="H1776" s="273">
        <v>12</v>
      </c>
      <c r="I1776" s="273">
        <v>60</v>
      </c>
      <c r="J1776" s="274">
        <v>0</v>
      </c>
    </row>
    <row r="1777" spans="1:38" ht="18" customHeight="1" x14ac:dyDescent="0.35">
      <c r="A1777" s="274">
        <f>MATCH(B1777,STUDIES!$A$3:$A$502,0)</f>
        <v>81</v>
      </c>
      <c r="B1777" s="86" t="s">
        <v>1599</v>
      </c>
      <c r="C1777" s="465"/>
      <c r="D1777" s="232" t="s">
        <v>1604</v>
      </c>
      <c r="E1777" s="272" t="s">
        <v>151</v>
      </c>
      <c r="F1777" s="155" t="str">
        <f>_xlfn.XLOOKUP(B1777,STUDIES!$A$3:$A$1063,STUDIES!$G$3:$G$1063,"Not Found!")</f>
        <v>A</v>
      </c>
      <c r="G1777" s="273" t="s">
        <v>147</v>
      </c>
      <c r="H1777" s="273">
        <v>16</v>
      </c>
      <c r="I1777" s="273">
        <v>28</v>
      </c>
      <c r="K1777" s="268">
        <v>26.5</v>
      </c>
      <c r="M1777" s="268">
        <v>10.1</v>
      </c>
      <c r="AJ1777" s="276">
        <v>-37.9</v>
      </c>
      <c r="AL1777" s="268">
        <v>9.8000000000000007</v>
      </c>
    </row>
    <row r="1778" spans="1:38" ht="18" customHeight="1" x14ac:dyDescent="0.35">
      <c r="A1778" s="274">
        <f>MATCH(B1778,STUDIES!$A$3:$A$502,0)</f>
        <v>81</v>
      </c>
      <c r="B1778" s="86" t="s">
        <v>1599</v>
      </c>
      <c r="C1778" s="465"/>
      <c r="D1778" s="232" t="s">
        <v>148</v>
      </c>
      <c r="E1778" s="272" t="s">
        <v>151</v>
      </c>
      <c r="F1778" s="155" t="str">
        <f>_xlfn.XLOOKUP(B1778,STUDIES!$A$3:$A$1063,STUDIES!$G$3:$G$1063,"Not Found!")</f>
        <v>A</v>
      </c>
      <c r="G1778" s="273" t="s">
        <v>147</v>
      </c>
      <c r="H1778" s="273">
        <v>16</v>
      </c>
      <c r="I1778" s="273">
        <v>12</v>
      </c>
      <c r="K1778" s="268">
        <v>26.4</v>
      </c>
      <c r="M1778" s="268">
        <v>8.6</v>
      </c>
      <c r="AJ1778" s="276">
        <v>-12.3</v>
      </c>
      <c r="AL1778" s="268">
        <v>14.3</v>
      </c>
    </row>
    <row r="1779" spans="1:38" ht="18" customHeight="1" x14ac:dyDescent="0.35">
      <c r="A1779" s="274">
        <f>MATCH(B1779,STUDIES!$A$3:$A$502,0)</f>
        <v>81</v>
      </c>
      <c r="B1779" s="86" t="s">
        <v>1599</v>
      </c>
      <c r="C1779" s="465"/>
      <c r="D1779" s="232" t="s">
        <v>1604</v>
      </c>
      <c r="E1779" s="272" t="s">
        <v>1258</v>
      </c>
      <c r="F1779" s="155" t="str">
        <f>_xlfn.XLOOKUP(B1779,STUDIES!$A$3:$A$1063,STUDIES!$G$3:$G$1063,"Not Found!")</f>
        <v>A</v>
      </c>
      <c r="G1779" s="273" t="s">
        <v>147</v>
      </c>
      <c r="H1779" s="273">
        <v>16</v>
      </c>
      <c r="I1779" s="273">
        <v>33</v>
      </c>
      <c r="J1779" s="274">
        <f>0.303*I1779</f>
        <v>9.9990000000000006</v>
      </c>
    </row>
    <row r="1780" spans="1:38" ht="18" customHeight="1" x14ac:dyDescent="0.35">
      <c r="A1780" s="274">
        <f>MATCH(B1780,STUDIES!$A$3:$A$502,0)</f>
        <v>81</v>
      </c>
      <c r="B1780" s="86" t="s">
        <v>1599</v>
      </c>
      <c r="C1780" s="465"/>
      <c r="D1780" s="232" t="s">
        <v>148</v>
      </c>
      <c r="E1780" s="272" t="s">
        <v>1258</v>
      </c>
      <c r="F1780" s="155" t="str">
        <f>_xlfn.XLOOKUP(B1780,STUDIES!$A$3:$A$1063,STUDIES!$G$3:$G$1063,"Not Found!")</f>
        <v>A</v>
      </c>
      <c r="G1780" s="273" t="s">
        <v>147</v>
      </c>
      <c r="H1780" s="273">
        <v>16</v>
      </c>
      <c r="I1780" s="273">
        <v>18</v>
      </c>
      <c r="J1780" s="274">
        <f>0.056*I1780</f>
        <v>1.008</v>
      </c>
    </row>
    <row r="1781" spans="1:38" ht="18" customHeight="1" x14ac:dyDescent="0.35">
      <c r="A1781" s="274">
        <f>MATCH(B1781,STUDIES!$A$3:$A$502,0)</f>
        <v>81</v>
      </c>
      <c r="B1781" s="86" t="s">
        <v>1599</v>
      </c>
      <c r="C1781" s="465"/>
      <c r="D1781" s="232" t="s">
        <v>1604</v>
      </c>
      <c r="E1781" s="272" t="s">
        <v>1243</v>
      </c>
      <c r="F1781" s="155" t="str">
        <f>_xlfn.XLOOKUP(B1781,STUDIES!$A$3:$A$1063,STUDIES!$G$3:$G$1063,"Not Found!")</f>
        <v>A</v>
      </c>
      <c r="G1781" s="273" t="s">
        <v>147</v>
      </c>
      <c r="H1781" s="273">
        <v>16</v>
      </c>
      <c r="I1781" s="273">
        <v>33</v>
      </c>
      <c r="J1781" s="274">
        <f>0.152*I1781</f>
        <v>5.016</v>
      </c>
    </row>
    <row r="1782" spans="1:38" ht="18" customHeight="1" x14ac:dyDescent="0.35">
      <c r="A1782" s="274">
        <f>MATCH(B1782,STUDIES!$A$3:$A$502,0)</f>
        <v>81</v>
      </c>
      <c r="B1782" s="86" t="s">
        <v>1599</v>
      </c>
      <c r="C1782" s="465"/>
      <c r="D1782" s="232" t="s">
        <v>148</v>
      </c>
      <c r="E1782" s="272" t="s">
        <v>1243</v>
      </c>
      <c r="F1782" s="155" t="str">
        <f>_xlfn.XLOOKUP(B1782,STUDIES!$A$3:$A$1063,STUDIES!$G$3:$G$1063,"Not Found!")</f>
        <v>A</v>
      </c>
      <c r="G1782" s="273" t="s">
        <v>147</v>
      </c>
      <c r="H1782" s="273">
        <v>16</v>
      </c>
      <c r="I1782" s="273">
        <v>18</v>
      </c>
      <c r="J1782" s="274">
        <f>0.056*I1782</f>
        <v>1.008</v>
      </c>
    </row>
    <row r="1783" spans="1:38" ht="18" customHeight="1" x14ac:dyDescent="0.35">
      <c r="A1783" s="274">
        <f>MATCH(B1783,STUDIES!$A$3:$A$502,0)</f>
        <v>81</v>
      </c>
      <c r="B1783" s="86" t="s">
        <v>1599</v>
      </c>
      <c r="C1783" s="465"/>
      <c r="D1783" s="232" t="s">
        <v>1604</v>
      </c>
      <c r="E1783" s="272" t="s">
        <v>1268</v>
      </c>
      <c r="F1783" s="155" t="str">
        <f>_xlfn.XLOOKUP(B1783,STUDIES!$A$3:$A$1063,STUDIES!$G$3:$G$1063,"Not Found!")</f>
        <v>A</v>
      </c>
      <c r="G1783" s="273" t="s">
        <v>147</v>
      </c>
      <c r="H1783" s="273">
        <v>16</v>
      </c>
      <c r="I1783" s="273">
        <v>33</v>
      </c>
      <c r="J1783" s="274">
        <v>3</v>
      </c>
    </row>
    <row r="1784" spans="1:38" ht="18" customHeight="1" x14ac:dyDescent="0.35">
      <c r="A1784" s="274">
        <f>MATCH(B1784,STUDIES!$A$3:$A$502,0)</f>
        <v>81</v>
      </c>
      <c r="B1784" s="86" t="s">
        <v>1599</v>
      </c>
      <c r="C1784" s="465"/>
      <c r="D1784" s="232" t="s">
        <v>148</v>
      </c>
      <c r="E1784" s="272" t="s">
        <v>1268</v>
      </c>
      <c r="F1784" s="155" t="str">
        <f>_xlfn.XLOOKUP(B1784,STUDIES!$A$3:$A$1063,STUDIES!$G$3:$G$1063,"Not Found!")</f>
        <v>A</v>
      </c>
      <c r="G1784" s="273" t="s">
        <v>147</v>
      </c>
      <c r="H1784" s="273">
        <v>16</v>
      </c>
      <c r="I1784" s="273">
        <v>18</v>
      </c>
      <c r="J1784" s="274">
        <v>0</v>
      </c>
    </row>
    <row r="1785" spans="1:38" ht="18" customHeight="1" x14ac:dyDescent="0.35">
      <c r="A1785" s="274">
        <f>MATCH(B1785,STUDIES!$A$3:$A$502,0)</f>
        <v>81</v>
      </c>
      <c r="B1785" s="86" t="s">
        <v>1599</v>
      </c>
      <c r="C1785" s="465"/>
      <c r="D1785" s="232" t="s">
        <v>1604</v>
      </c>
      <c r="E1785" s="272" t="s">
        <v>1163</v>
      </c>
      <c r="F1785" s="155" t="str">
        <f>_xlfn.XLOOKUP(B1785,STUDIES!$A$3:$A$1063,STUDIES!$G$3:$G$1063,"Not Found!")</f>
        <v>A</v>
      </c>
      <c r="G1785" s="273" t="s">
        <v>147</v>
      </c>
      <c r="H1785" s="273">
        <v>16</v>
      </c>
      <c r="I1785" s="273">
        <v>33</v>
      </c>
      <c r="J1785" s="274">
        <v>3</v>
      </c>
    </row>
    <row r="1786" spans="1:38" ht="18" customHeight="1" x14ac:dyDescent="0.35">
      <c r="A1786" s="274">
        <f>MATCH(B1786,STUDIES!$A$3:$A$502,0)</f>
        <v>81</v>
      </c>
      <c r="B1786" s="86" t="s">
        <v>1599</v>
      </c>
      <c r="C1786" s="465"/>
      <c r="D1786" s="232" t="s">
        <v>148</v>
      </c>
      <c r="E1786" s="272" t="s">
        <v>1163</v>
      </c>
      <c r="F1786" s="155" t="str">
        <f>_xlfn.XLOOKUP(B1786,STUDIES!$A$3:$A$1063,STUDIES!$G$3:$G$1063,"Not Found!")</f>
        <v>A</v>
      </c>
      <c r="G1786" s="273" t="s">
        <v>147</v>
      </c>
      <c r="H1786" s="273">
        <v>16</v>
      </c>
      <c r="I1786" s="273">
        <v>18</v>
      </c>
      <c r="J1786" s="274">
        <v>1</v>
      </c>
    </row>
    <row r="1787" spans="1:38" ht="18" customHeight="1" x14ac:dyDescent="0.35">
      <c r="A1787" s="274">
        <f>MATCH(B1787,STUDIES!$A$3:$A$502,0)</f>
        <v>81</v>
      </c>
      <c r="B1787" s="86" t="s">
        <v>1599</v>
      </c>
      <c r="C1787" s="465"/>
      <c r="D1787" s="232" t="s">
        <v>1604</v>
      </c>
      <c r="E1787" s="272" t="s">
        <v>1167</v>
      </c>
      <c r="F1787" s="155" t="str">
        <f>_xlfn.XLOOKUP(B1787,STUDIES!$A$3:$A$1063,STUDIES!$G$3:$G$1063,"Not Found!")</f>
        <v>A</v>
      </c>
      <c r="G1787" s="273" t="s">
        <v>147</v>
      </c>
      <c r="H1787" s="273">
        <v>16</v>
      </c>
      <c r="I1787" s="273">
        <v>33</v>
      </c>
      <c r="J1787" s="274">
        <v>5</v>
      </c>
    </row>
    <row r="1788" spans="1:38" ht="18" customHeight="1" x14ac:dyDescent="0.35">
      <c r="A1788" s="274">
        <f>MATCH(B1788,STUDIES!$A$3:$A$502,0)</f>
        <v>81</v>
      </c>
      <c r="B1788" s="86" t="s">
        <v>1599</v>
      </c>
      <c r="C1788" s="465"/>
      <c r="D1788" s="232" t="s">
        <v>148</v>
      </c>
      <c r="E1788" s="272" t="s">
        <v>1167</v>
      </c>
      <c r="F1788" s="155" t="str">
        <f>_xlfn.XLOOKUP(B1788,STUDIES!$A$3:$A$1063,STUDIES!$G$3:$G$1063,"Not Found!")</f>
        <v>A</v>
      </c>
      <c r="G1788" s="273" t="s">
        <v>147</v>
      </c>
      <c r="H1788" s="273">
        <v>16</v>
      </c>
      <c r="I1788" s="273">
        <v>18</v>
      </c>
      <c r="J1788" s="274">
        <v>3</v>
      </c>
    </row>
    <row r="1789" spans="1:38" ht="18" customHeight="1" x14ac:dyDescent="0.35">
      <c r="A1789" s="274">
        <f>MATCH(B1789,STUDIES!$A$3:$A$502,0)</f>
        <v>82</v>
      </c>
      <c r="B1789" s="86" t="s">
        <v>1875</v>
      </c>
      <c r="C1789" s="465"/>
      <c r="D1789" s="232" t="s">
        <v>1088</v>
      </c>
      <c r="E1789" s="272" t="s">
        <v>1268</v>
      </c>
      <c r="F1789" s="155" t="str">
        <f>_xlfn.XLOOKUP(B1789,STUDIES!$A$3:$A$1063,STUDIES!$G$3:$G$1063,"Not Found!")</f>
        <v>A</v>
      </c>
      <c r="G1789" s="273" t="s">
        <v>147</v>
      </c>
      <c r="H1789" s="273">
        <v>12</v>
      </c>
      <c r="I1789" s="273">
        <v>16</v>
      </c>
      <c r="J1789" s="274">
        <f>0.25*I1789</f>
        <v>4</v>
      </c>
    </row>
    <row r="1790" spans="1:38" ht="18" customHeight="1" x14ac:dyDescent="0.35">
      <c r="A1790" s="274">
        <f>MATCH(B1790,STUDIES!$A$3:$A$502,0)</f>
        <v>82</v>
      </c>
      <c r="B1790" s="86" t="s">
        <v>1875</v>
      </c>
      <c r="C1790" s="465"/>
      <c r="D1790" s="232" t="s">
        <v>1089</v>
      </c>
      <c r="E1790" s="272" t="s">
        <v>1268</v>
      </c>
      <c r="F1790" s="155" t="str">
        <f>_xlfn.XLOOKUP(B1790,STUDIES!$A$3:$A$1063,STUDIES!$G$3:$G$1063,"Not Found!")</f>
        <v>A</v>
      </c>
      <c r="G1790" s="273" t="s">
        <v>147</v>
      </c>
      <c r="H1790" s="273">
        <v>12</v>
      </c>
      <c r="I1790" s="273">
        <v>14</v>
      </c>
      <c r="J1790" s="274">
        <f>0.571*I1790</f>
        <v>7.9939999999999998</v>
      </c>
    </row>
    <row r="1791" spans="1:38" ht="18" customHeight="1" x14ac:dyDescent="0.35">
      <c r="A1791" s="274">
        <f>MATCH(B1791,STUDIES!$A$3:$A$502,0)</f>
        <v>82</v>
      </c>
      <c r="B1791" s="86" t="s">
        <v>1875</v>
      </c>
      <c r="C1791" s="465"/>
      <c r="D1791" s="232" t="s">
        <v>148</v>
      </c>
      <c r="E1791" s="272" t="s">
        <v>1268</v>
      </c>
      <c r="F1791" s="155" t="str">
        <f>_xlfn.XLOOKUP(B1791,STUDIES!$A$3:$A$1063,STUDIES!$G$3:$G$1063,"Not Found!")</f>
        <v>A</v>
      </c>
      <c r="G1791" s="273" t="s">
        <v>147</v>
      </c>
      <c r="H1791" s="273">
        <v>12</v>
      </c>
      <c r="I1791" s="273">
        <v>16</v>
      </c>
      <c r="J1791" s="274">
        <v>0</v>
      </c>
    </row>
    <row r="1792" spans="1:38" ht="18" customHeight="1" x14ac:dyDescent="0.35">
      <c r="A1792" s="274">
        <f>MATCH(B1792,STUDIES!$A$3:$A$502,0)</f>
        <v>82</v>
      </c>
      <c r="B1792" s="86" t="s">
        <v>1875</v>
      </c>
      <c r="C1792" s="465"/>
      <c r="D1792" s="232" t="s">
        <v>1088</v>
      </c>
      <c r="E1792" s="272" t="s">
        <v>1243</v>
      </c>
      <c r="F1792" s="155" t="str">
        <f>_xlfn.XLOOKUP(B1792,STUDIES!$A$3:$A$1063,STUDIES!$G$3:$G$1063,"Not Found!")</f>
        <v>A</v>
      </c>
      <c r="G1792" s="273" t="s">
        <v>147</v>
      </c>
      <c r="H1792" s="273">
        <v>12</v>
      </c>
      <c r="I1792" s="273">
        <v>16</v>
      </c>
      <c r="J1792" s="274">
        <f>0.438*I1792</f>
        <v>7.008</v>
      </c>
    </row>
    <row r="1793" spans="1:10" ht="18" customHeight="1" x14ac:dyDescent="0.35">
      <c r="A1793" s="274">
        <f>MATCH(B1793,STUDIES!$A$3:$A$502,0)</f>
        <v>82</v>
      </c>
      <c r="B1793" s="86" t="s">
        <v>1875</v>
      </c>
      <c r="C1793" s="465"/>
      <c r="D1793" s="232" t="s">
        <v>1089</v>
      </c>
      <c r="E1793" s="272" t="s">
        <v>1243</v>
      </c>
      <c r="F1793" s="155" t="str">
        <f>_xlfn.XLOOKUP(B1793,STUDIES!$A$3:$A$1063,STUDIES!$G$3:$G$1063,"Not Found!")</f>
        <v>A</v>
      </c>
      <c r="G1793" s="273" t="s">
        <v>147</v>
      </c>
      <c r="H1793" s="273">
        <v>12</v>
      </c>
      <c r="I1793" s="273">
        <v>14</v>
      </c>
      <c r="J1793" s="274">
        <f>0.786*I1793</f>
        <v>11.004000000000001</v>
      </c>
    </row>
    <row r="1794" spans="1:10" ht="18" customHeight="1" x14ac:dyDescent="0.35">
      <c r="A1794" s="274">
        <f>MATCH(B1794,STUDIES!$A$3:$A$502,0)</f>
        <v>82</v>
      </c>
      <c r="B1794" s="86" t="s">
        <v>1875</v>
      </c>
      <c r="C1794" s="465"/>
      <c r="D1794" s="232" t="s">
        <v>148</v>
      </c>
      <c r="E1794" s="272" t="s">
        <v>1243</v>
      </c>
      <c r="F1794" s="155" t="str">
        <f>_xlfn.XLOOKUP(B1794,STUDIES!$A$3:$A$1063,STUDIES!$G$3:$G$1063,"Not Found!")</f>
        <v>A</v>
      </c>
      <c r="G1794" s="273" t="s">
        <v>147</v>
      </c>
      <c r="H1794" s="273">
        <v>12</v>
      </c>
      <c r="I1794" s="273">
        <v>16</v>
      </c>
      <c r="J1794" s="274">
        <v>0</v>
      </c>
    </row>
    <row r="1795" spans="1:10" ht="18" customHeight="1" x14ac:dyDescent="0.35">
      <c r="A1795" s="274">
        <f>MATCH(B1795,STUDIES!$A$3:$A$502,0)</f>
        <v>82</v>
      </c>
      <c r="B1795" s="86" t="s">
        <v>1875</v>
      </c>
      <c r="C1795" s="465"/>
      <c r="D1795" s="232" t="s">
        <v>1088</v>
      </c>
      <c r="E1795" s="272" t="s">
        <v>1244</v>
      </c>
      <c r="F1795" s="155" t="str">
        <f>_xlfn.XLOOKUP(B1795,STUDIES!$A$3:$A$1063,STUDIES!$G$3:$G$1063,"Not Found!")</f>
        <v>A</v>
      </c>
      <c r="G1795" s="273" t="s">
        <v>147</v>
      </c>
      <c r="H1795" s="273">
        <v>12</v>
      </c>
      <c r="I1795" s="273">
        <v>16</v>
      </c>
      <c r="J1795" s="274">
        <f>0.375*I1795</f>
        <v>6</v>
      </c>
    </row>
    <row r="1796" spans="1:10" ht="18" customHeight="1" x14ac:dyDescent="0.35">
      <c r="A1796" s="274">
        <f>MATCH(B1796,STUDIES!$A$3:$A$502,0)</f>
        <v>82</v>
      </c>
      <c r="B1796" s="86" t="s">
        <v>1875</v>
      </c>
      <c r="C1796" s="465"/>
      <c r="D1796" s="232" t="s">
        <v>1089</v>
      </c>
      <c r="E1796" s="272" t="s">
        <v>1244</v>
      </c>
      <c r="F1796" s="155" t="str">
        <f>_xlfn.XLOOKUP(B1796,STUDIES!$A$3:$A$1063,STUDIES!$G$3:$G$1063,"Not Found!")</f>
        <v>A</v>
      </c>
      <c r="G1796" s="273" t="s">
        <v>147</v>
      </c>
      <c r="H1796" s="273">
        <v>12</v>
      </c>
      <c r="I1796" s="273">
        <v>14</v>
      </c>
      <c r="J1796" s="274">
        <f>0.5*I1796</f>
        <v>7</v>
      </c>
    </row>
    <row r="1797" spans="1:10" ht="18" customHeight="1" x14ac:dyDescent="0.35">
      <c r="A1797" s="274">
        <f>MATCH(B1797,STUDIES!$A$3:$A$502,0)</f>
        <v>82</v>
      </c>
      <c r="B1797" s="86" t="s">
        <v>1875</v>
      </c>
      <c r="C1797" s="465"/>
      <c r="D1797" s="232" t="s">
        <v>148</v>
      </c>
      <c r="E1797" s="272" t="s">
        <v>1244</v>
      </c>
      <c r="F1797" s="155" t="str">
        <f>_xlfn.XLOOKUP(B1797,STUDIES!$A$3:$A$1063,STUDIES!$G$3:$G$1063,"Not Found!")</f>
        <v>A</v>
      </c>
      <c r="G1797" s="273" t="s">
        <v>147</v>
      </c>
      <c r="H1797" s="273">
        <v>12</v>
      </c>
      <c r="I1797" s="273">
        <v>16</v>
      </c>
      <c r="J1797" s="274">
        <v>0</v>
      </c>
    </row>
    <row r="1798" spans="1:10" ht="18" customHeight="1" x14ac:dyDescent="0.35">
      <c r="A1798" s="274">
        <f>MATCH(B1798,STUDIES!$A$3:$A$502,0)</f>
        <v>82</v>
      </c>
      <c r="B1798" s="86" t="s">
        <v>1875</v>
      </c>
      <c r="C1798" s="465"/>
      <c r="D1798" s="232" t="s">
        <v>1088</v>
      </c>
      <c r="E1798" s="272" t="s">
        <v>1258</v>
      </c>
      <c r="F1798" s="155" t="str">
        <f>_xlfn.XLOOKUP(B1798,STUDIES!$A$3:$A$1063,STUDIES!$G$3:$G$1063,"Not Found!")</f>
        <v>A</v>
      </c>
      <c r="G1798" s="273" t="s">
        <v>147</v>
      </c>
      <c r="H1798" s="273">
        <v>12</v>
      </c>
      <c r="I1798" s="273">
        <v>16</v>
      </c>
      <c r="J1798" s="274">
        <f>0.688*I1798</f>
        <v>11.007999999999999</v>
      </c>
    </row>
    <row r="1799" spans="1:10" ht="18" customHeight="1" x14ac:dyDescent="0.35">
      <c r="A1799" s="274">
        <f>MATCH(B1799,STUDIES!$A$3:$A$502,0)</f>
        <v>82</v>
      </c>
      <c r="B1799" s="86" t="s">
        <v>1875</v>
      </c>
      <c r="C1799" s="465"/>
      <c r="D1799" s="232" t="s">
        <v>1089</v>
      </c>
      <c r="E1799" s="272" t="s">
        <v>1258</v>
      </c>
      <c r="F1799" s="155" t="str">
        <f>_xlfn.XLOOKUP(B1799,STUDIES!$A$3:$A$1063,STUDIES!$G$3:$G$1063,"Not Found!")</f>
        <v>A</v>
      </c>
      <c r="G1799" s="273" t="s">
        <v>147</v>
      </c>
      <c r="H1799" s="273">
        <v>12</v>
      </c>
      <c r="I1799" s="273">
        <v>14</v>
      </c>
      <c r="J1799" s="274">
        <f>0.929*I1799</f>
        <v>13.006</v>
      </c>
    </row>
    <row r="1800" spans="1:10" ht="18" customHeight="1" x14ac:dyDescent="0.35">
      <c r="A1800" s="274">
        <f>MATCH(B1800,STUDIES!$A$3:$A$502,0)</f>
        <v>82</v>
      </c>
      <c r="B1800" s="86" t="s">
        <v>1875</v>
      </c>
      <c r="C1800" s="465"/>
      <c r="D1800" s="232" t="s">
        <v>148</v>
      </c>
      <c r="E1800" s="272" t="s">
        <v>1258</v>
      </c>
      <c r="F1800" s="155" t="str">
        <f>_xlfn.XLOOKUP(B1800,STUDIES!$A$3:$A$1063,STUDIES!$G$3:$G$1063,"Not Found!")</f>
        <v>A</v>
      </c>
      <c r="G1800" s="273" t="s">
        <v>147</v>
      </c>
      <c r="H1800" s="273">
        <v>12</v>
      </c>
      <c r="I1800" s="273">
        <v>16</v>
      </c>
      <c r="J1800" s="274">
        <f>0.188*I1800</f>
        <v>3.008</v>
      </c>
    </row>
    <row r="1801" spans="1:10" ht="18" customHeight="1" x14ac:dyDescent="0.35">
      <c r="A1801" s="274">
        <f>MATCH(B1801,STUDIES!$A$3:$A$502,0)</f>
        <v>82</v>
      </c>
      <c r="B1801" s="86" t="s">
        <v>1875</v>
      </c>
      <c r="C1801" s="465"/>
      <c r="D1801" s="232" t="s">
        <v>1088</v>
      </c>
      <c r="E1801" s="272" t="s">
        <v>1163</v>
      </c>
      <c r="F1801" s="155" t="str">
        <f>_xlfn.XLOOKUP(B1801,STUDIES!$A$3:$A$1063,STUDIES!$G$3:$G$1063,"Not Found!")</f>
        <v>A</v>
      </c>
      <c r="G1801" s="273" t="s">
        <v>147</v>
      </c>
      <c r="H1801" s="273">
        <v>12</v>
      </c>
      <c r="I1801" s="273">
        <v>16</v>
      </c>
      <c r="J1801" s="274">
        <v>0</v>
      </c>
    </row>
    <row r="1802" spans="1:10" ht="18" customHeight="1" x14ac:dyDescent="0.35">
      <c r="A1802" s="274">
        <f>MATCH(B1802,STUDIES!$A$3:$A$502,0)</f>
        <v>82</v>
      </c>
      <c r="B1802" s="86" t="s">
        <v>1875</v>
      </c>
      <c r="C1802" s="465"/>
      <c r="D1802" s="232" t="s">
        <v>1089</v>
      </c>
      <c r="E1802" s="272" t="s">
        <v>1163</v>
      </c>
      <c r="F1802" s="155" t="str">
        <f>_xlfn.XLOOKUP(B1802,STUDIES!$A$3:$A$1063,STUDIES!$G$3:$G$1063,"Not Found!")</f>
        <v>A</v>
      </c>
      <c r="G1802" s="273" t="s">
        <v>147</v>
      </c>
      <c r="H1802" s="273">
        <v>12</v>
      </c>
      <c r="I1802" s="273">
        <v>14</v>
      </c>
      <c r="J1802" s="274">
        <v>0</v>
      </c>
    </row>
    <row r="1803" spans="1:10" ht="18" customHeight="1" x14ac:dyDescent="0.35">
      <c r="A1803" s="274">
        <f>MATCH(B1803,STUDIES!$A$3:$A$502,0)</f>
        <v>82</v>
      </c>
      <c r="B1803" s="86" t="s">
        <v>1875</v>
      </c>
      <c r="C1803" s="465"/>
      <c r="D1803" s="232" t="s">
        <v>148</v>
      </c>
      <c r="E1803" s="272" t="s">
        <v>1163</v>
      </c>
      <c r="F1803" s="155" t="str">
        <f>_xlfn.XLOOKUP(B1803,STUDIES!$A$3:$A$1063,STUDIES!$G$3:$G$1063,"Not Found!")</f>
        <v>A</v>
      </c>
      <c r="G1803" s="273" t="s">
        <v>147</v>
      </c>
      <c r="H1803" s="273">
        <v>12</v>
      </c>
      <c r="I1803" s="273">
        <v>16</v>
      </c>
      <c r="J1803" s="274">
        <v>1</v>
      </c>
    </row>
    <row r="1804" spans="1:10" ht="18" customHeight="1" x14ac:dyDescent="0.35">
      <c r="A1804" s="274">
        <f>MATCH(B1804,STUDIES!$A$3:$A$502,0)</f>
        <v>82</v>
      </c>
      <c r="B1804" s="86" t="s">
        <v>1875</v>
      </c>
      <c r="C1804" s="465"/>
      <c r="D1804" s="232" t="s">
        <v>1088</v>
      </c>
      <c r="E1804" s="272" t="s">
        <v>1167</v>
      </c>
      <c r="F1804" s="155" t="str">
        <f>_xlfn.XLOOKUP(B1804,STUDIES!$A$3:$A$1063,STUDIES!$G$3:$G$1063,"Not Found!")</f>
        <v>A</v>
      </c>
      <c r="G1804" s="273" t="s">
        <v>147</v>
      </c>
      <c r="H1804" s="273">
        <v>12</v>
      </c>
      <c r="I1804" s="273">
        <v>16</v>
      </c>
      <c r="J1804" s="274">
        <v>2</v>
      </c>
    </row>
    <row r="1805" spans="1:10" ht="18" customHeight="1" x14ac:dyDescent="0.35">
      <c r="A1805" s="274">
        <f>MATCH(B1805,STUDIES!$A$3:$A$502,0)</f>
        <v>82</v>
      </c>
      <c r="B1805" s="86" t="s">
        <v>1875</v>
      </c>
      <c r="C1805" s="465"/>
      <c r="D1805" s="232" t="s">
        <v>1089</v>
      </c>
      <c r="E1805" s="272" t="s">
        <v>1167</v>
      </c>
      <c r="F1805" s="155" t="str">
        <f>_xlfn.XLOOKUP(B1805,STUDIES!$A$3:$A$1063,STUDIES!$G$3:$G$1063,"Not Found!")</f>
        <v>A</v>
      </c>
      <c r="G1805" s="273" t="s">
        <v>147</v>
      </c>
      <c r="H1805" s="273">
        <v>12</v>
      </c>
      <c r="I1805" s="273">
        <v>14</v>
      </c>
      <c r="J1805" s="274">
        <v>1</v>
      </c>
    </row>
    <row r="1806" spans="1:10" ht="18" customHeight="1" x14ac:dyDescent="0.35">
      <c r="A1806" s="274">
        <f>MATCH(B1806,STUDIES!$A$3:$A$502,0)</f>
        <v>82</v>
      </c>
      <c r="B1806" s="86" t="s">
        <v>1875</v>
      </c>
      <c r="C1806" s="465"/>
      <c r="D1806" s="232" t="s">
        <v>148</v>
      </c>
      <c r="E1806" s="272" t="s">
        <v>1167</v>
      </c>
      <c r="F1806" s="155" t="str">
        <f>_xlfn.XLOOKUP(B1806,STUDIES!$A$3:$A$1063,STUDIES!$G$3:$G$1063,"Not Found!")</f>
        <v>A</v>
      </c>
      <c r="G1806" s="273" t="s">
        <v>147</v>
      </c>
      <c r="H1806" s="273">
        <v>12</v>
      </c>
      <c r="I1806" s="273">
        <v>16</v>
      </c>
      <c r="J1806" s="274">
        <v>2</v>
      </c>
    </row>
    <row r="1807" spans="1:10" ht="18" customHeight="1" x14ac:dyDescent="0.35">
      <c r="A1807" s="274">
        <f>MATCH(B1807,STUDIES!$A$3:$A$502,0)</f>
        <v>83</v>
      </c>
      <c r="B1807" s="86" t="s">
        <v>1614</v>
      </c>
      <c r="C1807" s="465"/>
      <c r="D1807" s="232" t="s">
        <v>148</v>
      </c>
      <c r="E1807" s="272" t="s">
        <v>1268</v>
      </c>
      <c r="F1807" s="155" t="str">
        <f>_xlfn.XLOOKUP(B1807,STUDIES!$A$3:$A$1063,STUDIES!$G$3:$G$1063,"Not Found!")</f>
        <v>A</v>
      </c>
      <c r="G1807" s="273" t="s">
        <v>147</v>
      </c>
      <c r="H1807" s="273">
        <v>16</v>
      </c>
      <c r="I1807" s="273">
        <v>66</v>
      </c>
      <c r="J1807" s="274">
        <v>15</v>
      </c>
    </row>
    <row r="1808" spans="1:10" ht="18" customHeight="1" x14ac:dyDescent="0.35">
      <c r="A1808" s="274">
        <f>MATCH(B1808,STUDIES!$A$3:$A$502,0)</f>
        <v>83</v>
      </c>
      <c r="B1808" s="86" t="s">
        <v>1614</v>
      </c>
      <c r="C1808" s="465"/>
      <c r="D1808" s="230" t="s">
        <v>1073</v>
      </c>
      <c r="E1808" s="272" t="s">
        <v>1268</v>
      </c>
      <c r="F1808" s="155" t="str">
        <f>_xlfn.XLOOKUP(B1808,STUDIES!$A$3:$A$1063,STUDIES!$G$3:$G$1063,"Not Found!")</f>
        <v>A</v>
      </c>
      <c r="G1808" s="273" t="s">
        <v>147</v>
      </c>
      <c r="H1808" s="273">
        <v>16</v>
      </c>
      <c r="I1808" s="273">
        <v>145</v>
      </c>
      <c r="J1808" s="274">
        <v>60</v>
      </c>
    </row>
    <row r="1809" spans="1:37" ht="18" customHeight="1" x14ac:dyDescent="0.35">
      <c r="A1809" s="274">
        <f>MATCH(B1809,STUDIES!$A$3:$A$502,0)</f>
        <v>83</v>
      </c>
      <c r="B1809" s="86" t="s">
        <v>1614</v>
      </c>
      <c r="C1809" s="465"/>
      <c r="D1809" s="232" t="s">
        <v>148</v>
      </c>
      <c r="E1809" s="272" t="s">
        <v>1243</v>
      </c>
      <c r="F1809" s="155" t="str">
        <f>_xlfn.XLOOKUP(B1809,STUDIES!$A$3:$A$1063,STUDIES!$G$3:$G$1063,"Not Found!")</f>
        <v>A</v>
      </c>
      <c r="G1809" s="273" t="s">
        <v>147</v>
      </c>
      <c r="H1809" s="273">
        <v>16</v>
      </c>
      <c r="I1809" s="273">
        <v>66</v>
      </c>
      <c r="J1809" s="274">
        <v>28</v>
      </c>
    </row>
    <row r="1810" spans="1:37" ht="18" customHeight="1" x14ac:dyDescent="0.35">
      <c r="A1810" s="274">
        <f>MATCH(B1810,STUDIES!$A$3:$A$502,0)</f>
        <v>83</v>
      </c>
      <c r="B1810" s="86" t="s">
        <v>1614</v>
      </c>
      <c r="C1810" s="465"/>
      <c r="D1810" s="230" t="s">
        <v>1073</v>
      </c>
      <c r="E1810" s="272" t="s">
        <v>1243</v>
      </c>
      <c r="F1810" s="155" t="str">
        <f>_xlfn.XLOOKUP(B1810,STUDIES!$A$3:$A$1063,STUDIES!$G$3:$G$1063,"Not Found!")</f>
        <v>A</v>
      </c>
      <c r="G1810" s="273" t="s">
        <v>147</v>
      </c>
      <c r="H1810" s="273">
        <v>16</v>
      </c>
      <c r="I1810" s="273">
        <v>145</v>
      </c>
      <c r="J1810" s="274">
        <v>101</v>
      </c>
    </row>
    <row r="1811" spans="1:37" ht="18" customHeight="1" x14ac:dyDescent="0.35">
      <c r="A1811" s="274">
        <f>MATCH(B1811,STUDIES!$A$3:$A$502,0)</f>
        <v>83</v>
      </c>
      <c r="B1811" s="86" t="s">
        <v>1614</v>
      </c>
      <c r="C1811" s="465"/>
      <c r="D1811" s="232" t="s">
        <v>148</v>
      </c>
      <c r="E1811" s="272" t="s">
        <v>1244</v>
      </c>
      <c r="F1811" s="155" t="str">
        <f>_xlfn.XLOOKUP(B1811,STUDIES!$A$3:$A$1063,STUDIES!$G$3:$G$1063,"Not Found!")</f>
        <v>A</v>
      </c>
      <c r="G1811" s="273" t="s">
        <v>147</v>
      </c>
      <c r="H1811" s="273">
        <v>16</v>
      </c>
      <c r="I1811" s="273">
        <v>66</v>
      </c>
      <c r="J1811" s="274">
        <v>14</v>
      </c>
    </row>
    <row r="1812" spans="1:37" ht="18" customHeight="1" x14ac:dyDescent="0.35">
      <c r="A1812" s="274">
        <f>MATCH(B1812,STUDIES!$A$3:$A$502,0)</f>
        <v>83</v>
      </c>
      <c r="B1812" s="86" t="s">
        <v>1614</v>
      </c>
      <c r="C1812" s="465"/>
      <c r="D1812" s="230" t="s">
        <v>1073</v>
      </c>
      <c r="E1812" s="272" t="s">
        <v>1244</v>
      </c>
      <c r="F1812" s="155" t="str">
        <f>_xlfn.XLOOKUP(B1812,STUDIES!$A$3:$A$1063,STUDIES!$G$3:$G$1063,"Not Found!")</f>
        <v>A</v>
      </c>
      <c r="G1812" s="273" t="s">
        <v>147</v>
      </c>
      <c r="H1812" s="273">
        <v>16</v>
      </c>
      <c r="I1812" s="273">
        <v>145</v>
      </c>
      <c r="J1812" s="274">
        <v>60</v>
      </c>
    </row>
    <row r="1813" spans="1:37" ht="18" customHeight="1" x14ac:dyDescent="0.35">
      <c r="A1813" s="274">
        <f>MATCH(B1813,STUDIES!$A$3:$A$502,0)</f>
        <v>83</v>
      </c>
      <c r="B1813" s="86" t="s">
        <v>1614</v>
      </c>
      <c r="C1813" s="465"/>
      <c r="D1813" s="232" t="s">
        <v>148</v>
      </c>
      <c r="E1813" s="272" t="s">
        <v>151</v>
      </c>
      <c r="F1813" s="155" t="str">
        <f>_xlfn.XLOOKUP(B1813,STUDIES!$A$3:$A$1063,STUDIES!$G$3:$G$1063,"Not Found!")</f>
        <v>A</v>
      </c>
      <c r="G1813" s="273" t="s">
        <v>147</v>
      </c>
      <c r="H1813" s="273">
        <v>16</v>
      </c>
      <c r="I1813" s="273">
        <v>66</v>
      </c>
      <c r="K1813" s="268">
        <v>26.4</v>
      </c>
      <c r="M1813" s="268">
        <v>10.6</v>
      </c>
      <c r="AJ1813" s="276">
        <v>-53.1</v>
      </c>
      <c r="AK1813" s="268">
        <v>5.0999999999999996</v>
      </c>
    </row>
    <row r="1814" spans="1:37" ht="18" customHeight="1" x14ac:dyDescent="0.35">
      <c r="A1814" s="274">
        <f>MATCH(B1814,STUDIES!$A$3:$A$502,0)</f>
        <v>83</v>
      </c>
      <c r="B1814" s="86" t="s">
        <v>1614</v>
      </c>
      <c r="C1814" s="465"/>
      <c r="D1814" s="230" t="s">
        <v>1073</v>
      </c>
      <c r="E1814" s="272" t="s">
        <v>151</v>
      </c>
      <c r="F1814" s="155" t="str">
        <f>_xlfn.XLOOKUP(B1814,STUDIES!$A$3:$A$1063,STUDIES!$G$3:$G$1063,"Not Found!")</f>
        <v>A</v>
      </c>
      <c r="G1814" s="273" t="s">
        <v>147</v>
      </c>
      <c r="H1814" s="273">
        <v>16</v>
      </c>
      <c r="I1814" s="273">
        <v>145</v>
      </c>
      <c r="K1814" s="268">
        <v>27.7</v>
      </c>
      <c r="M1814" s="268">
        <v>11.1</v>
      </c>
      <c r="AJ1814" s="276">
        <v>-76.8</v>
      </c>
      <c r="AK1814" s="268">
        <v>4.0999999999999996</v>
      </c>
    </row>
    <row r="1815" spans="1:37" ht="18" customHeight="1" x14ac:dyDescent="0.35">
      <c r="A1815" s="274">
        <f>MATCH(B1815,STUDIES!$A$3:$A$502,0)</f>
        <v>83</v>
      </c>
      <c r="B1815" s="86" t="s">
        <v>1614</v>
      </c>
      <c r="C1815" s="465"/>
      <c r="D1815" s="232" t="s">
        <v>148</v>
      </c>
      <c r="E1815" s="272" t="s">
        <v>695</v>
      </c>
      <c r="F1815" s="155" t="str">
        <f>_xlfn.XLOOKUP(B1815,STUDIES!$A$3:$A$1063,STUDIES!$G$3:$G$1063,"Not Found!")</f>
        <v>A</v>
      </c>
      <c r="G1815" s="273" t="s">
        <v>147</v>
      </c>
      <c r="H1815" s="273">
        <v>16</v>
      </c>
      <c r="I1815" s="273">
        <v>63</v>
      </c>
      <c r="K1815" s="268">
        <v>6.8</v>
      </c>
      <c r="M1815" s="268">
        <v>2</v>
      </c>
      <c r="AJ1815" s="276">
        <v>-35.5</v>
      </c>
      <c r="AK1815" s="268">
        <v>6.4</v>
      </c>
    </row>
    <row r="1816" spans="1:37" ht="18" customHeight="1" x14ac:dyDescent="0.35">
      <c r="A1816" s="274">
        <f>MATCH(B1816,STUDIES!$A$3:$A$502,0)</f>
        <v>83</v>
      </c>
      <c r="B1816" s="86" t="s">
        <v>1614</v>
      </c>
      <c r="C1816" s="465"/>
      <c r="D1816" s="230" t="s">
        <v>1073</v>
      </c>
      <c r="E1816" s="272" t="s">
        <v>695</v>
      </c>
      <c r="F1816" s="155" t="str">
        <f>_xlfn.XLOOKUP(B1816,STUDIES!$A$3:$A$1063,STUDIES!$G$3:$G$1063,"Not Found!")</f>
        <v>A</v>
      </c>
      <c r="G1816" s="273" t="s">
        <v>147</v>
      </c>
      <c r="H1816" s="273">
        <v>16</v>
      </c>
      <c r="I1816" s="273">
        <v>139</v>
      </c>
      <c r="K1816" s="268">
        <v>7.3</v>
      </c>
      <c r="M1816" s="268">
        <v>1.8</v>
      </c>
      <c r="AJ1816" s="276">
        <v>-50.7</v>
      </c>
      <c r="AK1816" s="268">
        <v>4.5</v>
      </c>
    </row>
    <row r="1817" spans="1:37" ht="18" customHeight="1" x14ac:dyDescent="0.35">
      <c r="A1817" s="274">
        <f>MATCH(B1817,STUDIES!$A$3:$A$502,0)</f>
        <v>83</v>
      </c>
      <c r="B1817" s="86" t="s">
        <v>1614</v>
      </c>
      <c r="C1817" s="465"/>
      <c r="D1817" s="232" t="s">
        <v>148</v>
      </c>
      <c r="E1817" s="272" t="s">
        <v>154</v>
      </c>
      <c r="F1817" s="155" t="str">
        <f>_xlfn.XLOOKUP(B1817,STUDIES!$A$3:$A$1063,STUDIES!$G$3:$G$1063,"Not Found!")</f>
        <v>A</v>
      </c>
      <c r="G1817" s="273" t="s">
        <v>147</v>
      </c>
      <c r="H1817" s="273">
        <v>16</v>
      </c>
      <c r="I1817" s="273">
        <v>51</v>
      </c>
      <c r="R1817" s="283">
        <v>-6.5</v>
      </c>
      <c r="S1817" s="268">
        <v>1.9</v>
      </c>
    </row>
    <row r="1818" spans="1:37" ht="18" customHeight="1" x14ac:dyDescent="0.35">
      <c r="A1818" s="274">
        <f>MATCH(B1818,STUDIES!$A$3:$A$502,0)</f>
        <v>83</v>
      </c>
      <c r="B1818" s="86" t="s">
        <v>1614</v>
      </c>
      <c r="C1818" s="465"/>
      <c r="D1818" s="230" t="s">
        <v>1073</v>
      </c>
      <c r="E1818" s="272" t="s">
        <v>154</v>
      </c>
      <c r="F1818" s="155" t="str">
        <f>_xlfn.XLOOKUP(B1818,STUDIES!$A$3:$A$1063,STUDIES!$G$3:$G$1063,"Not Found!")</f>
        <v>A</v>
      </c>
      <c r="G1818" s="273" t="s">
        <v>147</v>
      </c>
      <c r="H1818" s="273">
        <v>16</v>
      </c>
      <c r="I1818" s="273">
        <v>109</v>
      </c>
      <c r="R1818" s="283">
        <v>-9.8000000000000007</v>
      </c>
      <c r="S1818" s="268">
        <v>1.8</v>
      </c>
    </row>
    <row r="1819" spans="1:37" ht="18" customHeight="1" x14ac:dyDescent="0.35">
      <c r="A1819" s="274">
        <f>MATCH(B1819,STUDIES!$A$3:$A$502,0)</f>
        <v>83</v>
      </c>
      <c r="B1819" s="86" t="s">
        <v>1614</v>
      </c>
      <c r="C1819" s="465"/>
      <c r="D1819" s="232" t="s">
        <v>148</v>
      </c>
      <c r="E1819" s="272" t="s">
        <v>153</v>
      </c>
      <c r="F1819" s="155" t="str">
        <f>_xlfn.XLOOKUP(B1819,STUDIES!$A$3:$A$1063,STUDIES!$G$3:$G$1063,"Not Found!")</f>
        <v>A</v>
      </c>
      <c r="G1819" s="273" t="s">
        <v>147</v>
      </c>
      <c r="H1819" s="273">
        <v>16</v>
      </c>
      <c r="I1819" s="273">
        <v>40</v>
      </c>
      <c r="R1819" s="283">
        <v>-6.2</v>
      </c>
      <c r="S1819" s="268">
        <v>1.04</v>
      </c>
    </row>
    <row r="1820" spans="1:37" ht="18" customHeight="1" x14ac:dyDescent="0.35">
      <c r="A1820" s="274">
        <f>MATCH(B1820,STUDIES!$A$3:$A$502,0)</f>
        <v>83</v>
      </c>
      <c r="B1820" s="86" t="s">
        <v>1614</v>
      </c>
      <c r="C1820" s="465"/>
      <c r="D1820" s="230" t="s">
        <v>1073</v>
      </c>
      <c r="E1820" s="272" t="s">
        <v>153</v>
      </c>
      <c r="F1820" s="155" t="str">
        <f>_xlfn.XLOOKUP(B1820,STUDIES!$A$3:$A$1063,STUDIES!$G$3:$G$1063,"Not Found!")</f>
        <v>A</v>
      </c>
      <c r="G1820" s="273" t="s">
        <v>147</v>
      </c>
      <c r="H1820" s="273">
        <v>16</v>
      </c>
      <c r="I1820" s="273">
        <v>101</v>
      </c>
      <c r="R1820" s="283">
        <v>-10.199999999999999</v>
      </c>
      <c r="S1820" s="268">
        <v>0.7</v>
      </c>
    </row>
    <row r="1821" spans="1:37" ht="18" customHeight="1" x14ac:dyDescent="0.35">
      <c r="A1821" s="274">
        <f>MATCH(B1821,STUDIES!$A$3:$A$502,0)</f>
        <v>83</v>
      </c>
      <c r="B1821" s="86" t="s">
        <v>1614</v>
      </c>
      <c r="C1821" s="465"/>
      <c r="D1821" s="232" t="s">
        <v>148</v>
      </c>
      <c r="E1821" s="272" t="s">
        <v>694</v>
      </c>
      <c r="F1821" s="155" t="str">
        <f>_xlfn.XLOOKUP(B1821,STUDIES!$A$3:$A$1063,STUDIES!$G$3:$G$1063,"Not Found!")</f>
        <v>A</v>
      </c>
      <c r="G1821" s="273" t="s">
        <v>147</v>
      </c>
      <c r="H1821" s="273">
        <v>16</v>
      </c>
      <c r="I1821" s="273">
        <v>11</v>
      </c>
      <c r="R1821" s="283">
        <v>-4.7</v>
      </c>
      <c r="S1821" s="268">
        <v>1.2</v>
      </c>
    </row>
    <row r="1822" spans="1:37" ht="18" customHeight="1" x14ac:dyDescent="0.35">
      <c r="A1822" s="274">
        <f>MATCH(B1822,STUDIES!$A$3:$A$502,0)</f>
        <v>83</v>
      </c>
      <c r="B1822" s="86" t="s">
        <v>1614</v>
      </c>
      <c r="C1822" s="465"/>
      <c r="D1822" s="230" t="s">
        <v>1073</v>
      </c>
      <c r="E1822" s="272" t="s">
        <v>694</v>
      </c>
      <c r="F1822" s="155" t="str">
        <f>_xlfn.XLOOKUP(B1822,STUDIES!$A$3:$A$1063,STUDIES!$G$3:$G$1063,"Not Found!")</f>
        <v>A</v>
      </c>
      <c r="G1822" s="273" t="s">
        <v>147</v>
      </c>
      <c r="H1822" s="273">
        <v>16</v>
      </c>
      <c r="I1822" s="273">
        <v>24</v>
      </c>
      <c r="R1822" s="283">
        <v>-9.3000000000000007</v>
      </c>
      <c r="S1822" s="268">
        <v>0.9</v>
      </c>
    </row>
    <row r="1823" spans="1:37" ht="18" customHeight="1" x14ac:dyDescent="0.35">
      <c r="A1823" s="274">
        <f>MATCH(B1823,STUDIES!$A$3:$A$502,0)</f>
        <v>83</v>
      </c>
      <c r="B1823" s="86" t="s">
        <v>1614</v>
      </c>
      <c r="C1823" s="465"/>
      <c r="D1823" s="232" t="s">
        <v>148</v>
      </c>
      <c r="E1823" s="272" t="s">
        <v>1163</v>
      </c>
      <c r="F1823" s="155" t="str">
        <f>_xlfn.XLOOKUP(B1823,STUDIES!$A$3:$A$1063,STUDIES!$G$3:$G$1063,"Not Found!")</f>
        <v>A</v>
      </c>
      <c r="G1823" s="273" t="s">
        <v>147</v>
      </c>
      <c r="H1823" s="273">
        <v>16</v>
      </c>
      <c r="I1823" s="273">
        <v>66</v>
      </c>
      <c r="J1823" s="274">
        <v>1</v>
      </c>
    </row>
    <row r="1824" spans="1:37" ht="18" customHeight="1" x14ac:dyDescent="0.35">
      <c r="A1824" s="274">
        <f>MATCH(B1824,STUDIES!$A$3:$A$502,0)</f>
        <v>83</v>
      </c>
      <c r="B1824" s="86" t="s">
        <v>1614</v>
      </c>
      <c r="C1824" s="465"/>
      <c r="D1824" s="230" t="s">
        <v>1073</v>
      </c>
      <c r="E1824" s="272" t="s">
        <v>1163</v>
      </c>
      <c r="F1824" s="155" t="str">
        <f>_xlfn.XLOOKUP(B1824,STUDIES!$A$3:$A$1063,STUDIES!$G$3:$G$1063,"Not Found!")</f>
        <v>A</v>
      </c>
      <c r="G1824" s="273" t="s">
        <v>147</v>
      </c>
      <c r="H1824" s="273">
        <v>16</v>
      </c>
      <c r="I1824" s="273">
        <v>145</v>
      </c>
      <c r="J1824" s="274">
        <v>2</v>
      </c>
    </row>
    <row r="1825" spans="1:20" ht="18" customHeight="1" x14ac:dyDescent="0.35">
      <c r="A1825" s="274">
        <f>MATCH(B1825,STUDIES!$A$3:$A$502,0)</f>
        <v>83</v>
      </c>
      <c r="B1825" s="86" t="s">
        <v>1614</v>
      </c>
      <c r="C1825" s="465"/>
      <c r="D1825" s="232" t="s">
        <v>148</v>
      </c>
      <c r="E1825" s="272" t="s">
        <v>1167</v>
      </c>
      <c r="F1825" s="155" t="str">
        <f>_xlfn.XLOOKUP(B1825,STUDIES!$A$3:$A$1063,STUDIES!$G$3:$G$1063,"Not Found!")</f>
        <v>A</v>
      </c>
      <c r="G1825" s="273" t="s">
        <v>147</v>
      </c>
      <c r="H1825" s="273">
        <v>16</v>
      </c>
      <c r="I1825" s="273">
        <v>66</v>
      </c>
      <c r="J1825" s="274">
        <v>0</v>
      </c>
    </row>
    <row r="1826" spans="1:20" ht="18" customHeight="1" x14ac:dyDescent="0.35">
      <c r="A1826" s="274">
        <f>MATCH(B1826,STUDIES!$A$3:$A$502,0)</f>
        <v>83</v>
      </c>
      <c r="B1826" s="86" t="s">
        <v>1614</v>
      </c>
      <c r="C1826" s="465"/>
      <c r="D1826" s="230" t="s">
        <v>1073</v>
      </c>
      <c r="E1826" s="272" t="s">
        <v>1167</v>
      </c>
      <c r="F1826" s="155" t="str">
        <f>_xlfn.XLOOKUP(B1826,STUDIES!$A$3:$A$1063,STUDIES!$G$3:$G$1063,"Not Found!")</f>
        <v>A</v>
      </c>
      <c r="G1826" s="273" t="s">
        <v>147</v>
      </c>
      <c r="H1826" s="273">
        <v>16</v>
      </c>
      <c r="I1826" s="273">
        <v>145</v>
      </c>
      <c r="J1826" s="274">
        <v>3</v>
      </c>
    </row>
    <row r="1827" spans="1:20" ht="18" customHeight="1" x14ac:dyDescent="0.35">
      <c r="A1827" s="274">
        <f>MATCH(B1827,STUDIES!$A$3:$A$502,0)</f>
        <v>72</v>
      </c>
      <c r="B1827" s="272" t="s">
        <v>1717</v>
      </c>
      <c r="D1827" s="281" t="s">
        <v>1056</v>
      </c>
      <c r="E1827" s="272" t="s">
        <v>1258</v>
      </c>
      <c r="F1827" s="155" t="str">
        <f>_xlfn.XLOOKUP(B1827,STUDIES!$A$3:$A$1063,STUDIES!$G$3:$G$1063,"Not Found!")</f>
        <v>A</v>
      </c>
      <c r="G1827" s="273" t="s">
        <v>147</v>
      </c>
      <c r="H1827" s="273">
        <v>12</v>
      </c>
      <c r="I1827" s="273">
        <v>109</v>
      </c>
      <c r="J1827" s="274">
        <f>0.89*I1827</f>
        <v>97.01</v>
      </c>
    </row>
    <row r="1828" spans="1:20" ht="18" customHeight="1" x14ac:dyDescent="0.35">
      <c r="A1828" s="274">
        <f>MATCH(B1828,STUDIES!$A$3:$A$502,0)</f>
        <v>72</v>
      </c>
      <c r="B1828" s="272" t="s">
        <v>1717</v>
      </c>
      <c r="D1828" s="281" t="s">
        <v>148</v>
      </c>
      <c r="E1828" s="272" t="s">
        <v>1258</v>
      </c>
      <c r="F1828" s="155" t="str">
        <f>_xlfn.XLOOKUP(B1828,STUDIES!$A$3:$A$1063,STUDIES!$G$3:$G$1063,"Not Found!")</f>
        <v>A</v>
      </c>
      <c r="G1828" s="273" t="s">
        <v>147</v>
      </c>
      <c r="H1828" s="273">
        <v>12</v>
      </c>
      <c r="I1828" s="273">
        <v>48</v>
      </c>
      <c r="J1828" s="274">
        <f>0.583*I1828</f>
        <v>27.983999999999998</v>
      </c>
    </row>
    <row r="1829" spans="1:20" ht="18" customHeight="1" x14ac:dyDescent="0.35">
      <c r="A1829" s="274">
        <f>MATCH(B1829,STUDIES!$A$3:$A$502,0)</f>
        <v>72</v>
      </c>
      <c r="B1829" s="272" t="s">
        <v>1717</v>
      </c>
      <c r="D1829" s="281" t="s">
        <v>1056</v>
      </c>
      <c r="E1829" s="272" t="s">
        <v>1243</v>
      </c>
      <c r="F1829" s="155" t="str">
        <f>_xlfn.XLOOKUP(B1829,STUDIES!$A$3:$A$1063,STUDIES!$G$3:$G$1063,"Not Found!")</f>
        <v>A</v>
      </c>
      <c r="G1829" s="273" t="s">
        <v>147</v>
      </c>
      <c r="H1829" s="273">
        <v>12</v>
      </c>
      <c r="I1829" s="273">
        <v>109</v>
      </c>
      <c r="J1829" s="274">
        <f>0.606*I1829</f>
        <v>66.054000000000002</v>
      </c>
    </row>
    <row r="1830" spans="1:20" ht="18" customHeight="1" x14ac:dyDescent="0.35">
      <c r="A1830" s="274">
        <f>MATCH(B1830,STUDIES!$A$3:$A$502,0)</f>
        <v>72</v>
      </c>
      <c r="B1830" s="272" t="s">
        <v>1717</v>
      </c>
      <c r="D1830" s="281" t="s">
        <v>148</v>
      </c>
      <c r="E1830" s="272" t="s">
        <v>1243</v>
      </c>
      <c r="F1830" s="155" t="str">
        <f>_xlfn.XLOOKUP(B1830,STUDIES!$A$3:$A$1063,STUDIES!$G$3:$G$1063,"Not Found!")</f>
        <v>A</v>
      </c>
      <c r="G1830" s="273" t="s">
        <v>147</v>
      </c>
      <c r="H1830" s="273">
        <v>12</v>
      </c>
      <c r="I1830" s="273">
        <v>48</v>
      </c>
      <c r="J1830" s="274">
        <f>0.292*I1830</f>
        <v>14.015999999999998</v>
      </c>
    </row>
    <row r="1831" spans="1:20" ht="18" customHeight="1" x14ac:dyDescent="0.35">
      <c r="A1831" s="274">
        <f>MATCH(B1831,STUDIES!$A$3:$A$502,0)</f>
        <v>72</v>
      </c>
      <c r="B1831" s="272" t="s">
        <v>1717</v>
      </c>
      <c r="D1831" s="281" t="s">
        <v>1056</v>
      </c>
      <c r="E1831" s="272" t="s">
        <v>153</v>
      </c>
      <c r="F1831" s="155" t="str">
        <f>_xlfn.XLOOKUP(B1831,STUDIES!$A$3:$A$1063,STUDIES!$G$3:$G$1063,"Not Found!")</f>
        <v>A</v>
      </c>
      <c r="G1831" s="273" t="s">
        <v>147</v>
      </c>
      <c r="H1831" s="273">
        <v>12</v>
      </c>
      <c r="I1831" s="273">
        <v>90</v>
      </c>
      <c r="R1831" s="283">
        <v>-13.63</v>
      </c>
      <c r="T1831" s="268">
        <v>7.4960000000000004</v>
      </c>
    </row>
    <row r="1832" spans="1:20" ht="18" customHeight="1" x14ac:dyDescent="0.35">
      <c r="A1832" s="274">
        <f>MATCH(B1832,STUDIES!$A$3:$A$502,0)</f>
        <v>72</v>
      </c>
      <c r="B1832" s="272" t="s">
        <v>1717</v>
      </c>
      <c r="D1832" s="281" t="s">
        <v>148</v>
      </c>
      <c r="E1832" s="272" t="s">
        <v>153</v>
      </c>
      <c r="F1832" s="155" t="str">
        <f>_xlfn.XLOOKUP(B1832,STUDIES!$A$3:$A$1063,STUDIES!$G$3:$G$1063,"Not Found!")</f>
        <v>A</v>
      </c>
      <c r="G1832" s="273" t="s">
        <v>147</v>
      </c>
      <c r="H1832" s="273">
        <v>12</v>
      </c>
      <c r="I1832" s="273">
        <v>39</v>
      </c>
      <c r="R1832" s="283">
        <v>-4.4400000000000004</v>
      </c>
      <c r="T1832" s="268">
        <v>6.8239999999999998</v>
      </c>
    </row>
    <row r="1833" spans="1:20" ht="18" customHeight="1" x14ac:dyDescent="0.35">
      <c r="A1833" s="274">
        <f>MATCH(B1833,STUDIES!$A$3:$A$502,0)</f>
        <v>72</v>
      </c>
      <c r="B1833" s="272" t="s">
        <v>1717</v>
      </c>
      <c r="D1833" s="281" t="s">
        <v>1056</v>
      </c>
      <c r="E1833" s="272" t="s">
        <v>154</v>
      </c>
      <c r="F1833" s="155" t="str">
        <f>_xlfn.XLOOKUP(B1833,STUDIES!$A$3:$A$1063,STUDIES!$G$3:$G$1063,"Not Found!")</f>
        <v>A</v>
      </c>
      <c r="G1833" s="273" t="s">
        <v>147</v>
      </c>
      <c r="H1833" s="273">
        <v>12</v>
      </c>
      <c r="I1833" s="273">
        <v>90</v>
      </c>
      <c r="R1833" s="283">
        <v>-11.82</v>
      </c>
      <c r="T1833" s="268">
        <v>6.5030000000000001</v>
      </c>
    </row>
    <row r="1834" spans="1:20" ht="18" customHeight="1" x14ac:dyDescent="0.35">
      <c r="A1834" s="274">
        <f>MATCH(B1834,STUDIES!$A$3:$A$502,0)</f>
        <v>72</v>
      </c>
      <c r="B1834" s="272" t="s">
        <v>1717</v>
      </c>
      <c r="D1834" s="281" t="s">
        <v>148</v>
      </c>
      <c r="E1834" s="272" t="s">
        <v>154</v>
      </c>
      <c r="F1834" s="155" t="str">
        <f>_xlfn.XLOOKUP(B1834,STUDIES!$A$3:$A$1063,STUDIES!$G$3:$G$1063,"Not Found!")</f>
        <v>A</v>
      </c>
      <c r="G1834" s="273" t="s">
        <v>147</v>
      </c>
      <c r="H1834" s="273">
        <v>12</v>
      </c>
      <c r="I1834" s="273">
        <v>39</v>
      </c>
      <c r="R1834" s="283">
        <v>-7.54</v>
      </c>
      <c r="T1834" s="268">
        <v>6.8010000000000002</v>
      </c>
    </row>
    <row r="1835" spans="1:20" ht="18" customHeight="1" x14ac:dyDescent="0.35">
      <c r="A1835" s="274">
        <f>MATCH(B1835,STUDIES!$A$3:$A$502,0)</f>
        <v>71</v>
      </c>
      <c r="B1835" s="272" t="s">
        <v>1627</v>
      </c>
      <c r="D1835" s="232" t="s">
        <v>1629</v>
      </c>
      <c r="E1835" s="272" t="s">
        <v>1163</v>
      </c>
      <c r="F1835" s="155" t="str">
        <f>_xlfn.XLOOKUP(B1835,STUDIES!$A$3:$A$1063,STUDIES!$G$3:$G$1063,"Not Found!")</f>
        <v>A</v>
      </c>
      <c r="G1835" s="273" t="s">
        <v>152</v>
      </c>
      <c r="H1835" s="273">
        <v>18</v>
      </c>
      <c r="I1835" s="273">
        <v>54</v>
      </c>
      <c r="J1835" s="274">
        <v>3</v>
      </c>
    </row>
    <row r="1836" spans="1:20" ht="18" customHeight="1" x14ac:dyDescent="0.35">
      <c r="A1836" s="274">
        <f>MATCH(B1836,STUDIES!$A$3:$A$502,0)</f>
        <v>71</v>
      </c>
      <c r="B1836" s="272" t="s">
        <v>1627</v>
      </c>
      <c r="D1836" s="232" t="s">
        <v>1630</v>
      </c>
      <c r="E1836" s="272" t="s">
        <v>1163</v>
      </c>
      <c r="F1836" s="155" t="str">
        <f>_xlfn.XLOOKUP(B1836,STUDIES!$A$3:$A$1063,STUDIES!$G$3:$G$1063,"Not Found!")</f>
        <v>A</v>
      </c>
      <c r="G1836" s="273" t="s">
        <v>152</v>
      </c>
      <c r="H1836" s="273">
        <v>18</v>
      </c>
      <c r="I1836" s="273">
        <v>53</v>
      </c>
      <c r="J1836" s="274">
        <v>1</v>
      </c>
    </row>
    <row r="1837" spans="1:20" ht="18" customHeight="1" x14ac:dyDescent="0.35">
      <c r="A1837" s="274">
        <f>MATCH(B1837,STUDIES!$A$3:$A$502,0)</f>
        <v>71</v>
      </c>
      <c r="B1837" s="272" t="s">
        <v>1627</v>
      </c>
      <c r="D1837" s="232" t="s">
        <v>1631</v>
      </c>
      <c r="E1837" s="272" t="s">
        <v>1163</v>
      </c>
      <c r="F1837" s="155" t="str">
        <f>_xlfn.XLOOKUP(B1837,STUDIES!$A$3:$A$1063,STUDIES!$G$3:$G$1063,"Not Found!")</f>
        <v>A</v>
      </c>
      <c r="G1837" s="273" t="s">
        <v>152</v>
      </c>
      <c r="H1837" s="273">
        <v>18</v>
      </c>
      <c r="I1837" s="273">
        <v>55</v>
      </c>
      <c r="J1837" s="274">
        <v>3</v>
      </c>
    </row>
    <row r="1838" spans="1:20" ht="18" customHeight="1" x14ac:dyDescent="0.35">
      <c r="A1838" s="274">
        <f>MATCH(B1838,STUDIES!$A$3:$A$502,0)</f>
        <v>71</v>
      </c>
      <c r="B1838" s="272" t="s">
        <v>1627</v>
      </c>
      <c r="D1838" s="232" t="s">
        <v>1632</v>
      </c>
      <c r="E1838" s="272" t="s">
        <v>1163</v>
      </c>
      <c r="F1838" s="155" t="str">
        <f>_xlfn.XLOOKUP(B1838,STUDIES!$A$3:$A$1063,STUDIES!$G$3:$G$1063,"Not Found!")</f>
        <v>A</v>
      </c>
      <c r="G1838" s="273" t="s">
        <v>152</v>
      </c>
      <c r="H1838" s="273">
        <v>18</v>
      </c>
      <c r="I1838" s="273">
        <v>54</v>
      </c>
      <c r="J1838" s="274">
        <v>1</v>
      </c>
    </row>
    <row r="1839" spans="1:20" ht="18" customHeight="1" x14ac:dyDescent="0.35">
      <c r="A1839" s="274">
        <f>MATCH(B1839,STUDIES!$A$3:$A$502,0)</f>
        <v>71</v>
      </c>
      <c r="B1839" s="272" t="s">
        <v>1627</v>
      </c>
      <c r="D1839" s="281" t="s">
        <v>148</v>
      </c>
      <c r="E1839" s="272" t="s">
        <v>1163</v>
      </c>
      <c r="F1839" s="155" t="str">
        <f>_xlfn.XLOOKUP(B1839,STUDIES!$A$3:$A$1063,STUDIES!$G$3:$G$1063,"Not Found!")</f>
        <v>A</v>
      </c>
      <c r="G1839" s="273" t="s">
        <v>152</v>
      </c>
      <c r="H1839" s="273">
        <v>18</v>
      </c>
      <c r="I1839" s="273">
        <v>57</v>
      </c>
      <c r="J1839" s="274">
        <v>1</v>
      </c>
    </row>
    <row r="1840" spans="1:20" ht="18" customHeight="1" x14ac:dyDescent="0.35">
      <c r="A1840" s="274">
        <f>MATCH(B1840,STUDIES!$A$3:$A$502,0)</f>
        <v>71</v>
      </c>
      <c r="B1840" s="272" t="s">
        <v>1627</v>
      </c>
      <c r="D1840" s="232" t="s">
        <v>1629</v>
      </c>
      <c r="E1840" s="272" t="s">
        <v>1167</v>
      </c>
      <c r="F1840" s="155" t="str">
        <f>_xlfn.XLOOKUP(B1840,STUDIES!$A$3:$A$1063,STUDIES!$G$3:$G$1063,"Not Found!")</f>
        <v>A</v>
      </c>
      <c r="G1840" s="273" t="s">
        <v>152</v>
      </c>
      <c r="H1840" s="273">
        <v>18</v>
      </c>
      <c r="I1840" s="273">
        <v>54</v>
      </c>
      <c r="J1840" s="274">
        <v>2</v>
      </c>
    </row>
    <row r="1841" spans="1:37" ht="18" customHeight="1" x14ac:dyDescent="0.35">
      <c r="A1841" s="274">
        <f>MATCH(B1841,STUDIES!$A$3:$A$502,0)</f>
        <v>71</v>
      </c>
      <c r="B1841" s="272" t="s">
        <v>1627</v>
      </c>
      <c r="D1841" s="232" t="s">
        <v>1630</v>
      </c>
      <c r="E1841" s="272" t="s">
        <v>1167</v>
      </c>
      <c r="F1841" s="155" t="str">
        <f>_xlfn.XLOOKUP(B1841,STUDIES!$A$3:$A$1063,STUDIES!$G$3:$G$1063,"Not Found!")</f>
        <v>A</v>
      </c>
      <c r="G1841" s="273" t="s">
        <v>152</v>
      </c>
      <c r="H1841" s="273">
        <v>18</v>
      </c>
      <c r="I1841" s="273">
        <v>53</v>
      </c>
      <c r="J1841" s="274">
        <v>3</v>
      </c>
    </row>
    <row r="1842" spans="1:37" ht="18" customHeight="1" x14ac:dyDescent="0.35">
      <c r="A1842" s="274">
        <f>MATCH(B1842,STUDIES!$A$3:$A$502,0)</f>
        <v>71</v>
      </c>
      <c r="B1842" s="272" t="s">
        <v>1627</v>
      </c>
      <c r="D1842" s="232" t="s">
        <v>1631</v>
      </c>
      <c r="E1842" s="272" t="s">
        <v>1167</v>
      </c>
      <c r="F1842" s="155" t="str">
        <f>_xlfn.XLOOKUP(B1842,STUDIES!$A$3:$A$1063,STUDIES!$G$3:$G$1063,"Not Found!")</f>
        <v>A</v>
      </c>
      <c r="G1842" s="273" t="s">
        <v>152</v>
      </c>
      <c r="H1842" s="273">
        <v>18</v>
      </c>
      <c r="I1842" s="273">
        <v>55</v>
      </c>
      <c r="J1842" s="274">
        <v>6</v>
      </c>
    </row>
    <row r="1843" spans="1:37" ht="18" customHeight="1" x14ac:dyDescent="0.35">
      <c r="A1843" s="274">
        <f>MATCH(B1843,STUDIES!$A$3:$A$502,0)</f>
        <v>71</v>
      </c>
      <c r="B1843" s="272" t="s">
        <v>1627</v>
      </c>
      <c r="D1843" s="232" t="s">
        <v>1632</v>
      </c>
      <c r="E1843" s="272" t="s">
        <v>1167</v>
      </c>
      <c r="F1843" s="155" t="str">
        <f>_xlfn.XLOOKUP(B1843,STUDIES!$A$3:$A$1063,STUDIES!$G$3:$G$1063,"Not Found!")</f>
        <v>A</v>
      </c>
      <c r="G1843" s="273" t="s">
        <v>152</v>
      </c>
      <c r="H1843" s="273">
        <v>18</v>
      </c>
      <c r="I1843" s="273">
        <v>54</v>
      </c>
      <c r="J1843" s="274">
        <v>3</v>
      </c>
    </row>
    <row r="1844" spans="1:37" ht="18" customHeight="1" x14ac:dyDescent="0.35">
      <c r="A1844" s="274">
        <f>MATCH(B1844,STUDIES!$A$3:$A$502,0)</f>
        <v>71</v>
      </c>
      <c r="B1844" s="272" t="s">
        <v>1627</v>
      </c>
      <c r="D1844" s="281" t="s">
        <v>148</v>
      </c>
      <c r="E1844" s="272" t="s">
        <v>1167</v>
      </c>
      <c r="F1844" s="155" t="str">
        <f>_xlfn.XLOOKUP(B1844,STUDIES!$A$3:$A$1063,STUDIES!$G$3:$G$1063,"Not Found!")</f>
        <v>A</v>
      </c>
      <c r="G1844" s="273" t="s">
        <v>152</v>
      </c>
      <c r="H1844" s="273">
        <v>18</v>
      </c>
      <c r="I1844" s="273">
        <v>57</v>
      </c>
      <c r="J1844" s="274">
        <v>11</v>
      </c>
    </row>
    <row r="1845" spans="1:37" ht="18" customHeight="1" x14ac:dyDescent="0.35">
      <c r="A1845" s="274">
        <f>MATCH(B1845,STUDIES!$A$3:$A$502,0)</f>
        <v>78</v>
      </c>
      <c r="B1845" s="86" t="s">
        <v>1637</v>
      </c>
      <c r="C1845" s="465"/>
      <c r="D1845" s="232" t="s">
        <v>148</v>
      </c>
      <c r="E1845" s="272" t="s">
        <v>151</v>
      </c>
      <c r="F1845" s="155" t="str">
        <f>_xlfn.XLOOKUP(B1845,STUDIES!$A$3:$A$1063,STUDIES!$G$3:$G$1063,"Not Found!")</f>
        <v>A</v>
      </c>
      <c r="G1845" s="273" t="s">
        <v>147</v>
      </c>
      <c r="H1845" s="273">
        <v>16</v>
      </c>
      <c r="I1845" s="273">
        <v>146</v>
      </c>
      <c r="K1845" s="268">
        <v>29.6</v>
      </c>
      <c r="M1845" s="268">
        <v>10.8</v>
      </c>
      <c r="Q1845" s="275"/>
      <c r="R1845" s="276"/>
      <c r="AJ1845" s="276">
        <v>-43.3</v>
      </c>
      <c r="AK1845" s="268">
        <v>3.3</v>
      </c>
    </row>
    <row r="1846" spans="1:37" ht="18" customHeight="1" x14ac:dyDescent="0.35">
      <c r="A1846" s="274">
        <f>MATCH(B1846,STUDIES!$A$3:$A$502,0)</f>
        <v>78</v>
      </c>
      <c r="B1846" s="86" t="s">
        <v>1637</v>
      </c>
      <c r="C1846" s="465"/>
      <c r="D1846" s="230" t="s">
        <v>1073</v>
      </c>
      <c r="E1846" s="272" t="s">
        <v>151</v>
      </c>
      <c r="F1846" s="155" t="str">
        <f>_xlfn.XLOOKUP(B1846,STUDIES!$A$3:$A$1063,STUDIES!$G$3:$G$1063,"Not Found!")</f>
        <v>A</v>
      </c>
      <c r="G1846" s="273" t="s">
        <v>147</v>
      </c>
      <c r="H1846" s="273">
        <v>16</v>
      </c>
      <c r="I1846" s="273">
        <v>281</v>
      </c>
      <c r="K1846" s="268">
        <v>29</v>
      </c>
      <c r="M1846" s="268">
        <v>12</v>
      </c>
      <c r="Q1846" s="275"/>
      <c r="R1846" s="276"/>
      <c r="AJ1846" s="276">
        <v>-75</v>
      </c>
      <c r="AK1846" s="268">
        <v>2.2999999999999998</v>
      </c>
    </row>
    <row r="1847" spans="1:37" ht="18" customHeight="1" x14ac:dyDescent="0.35">
      <c r="A1847" s="274">
        <f>MATCH(B1847,STUDIES!$A$3:$A$502,0)</f>
        <v>78</v>
      </c>
      <c r="B1847" s="86" t="s">
        <v>1637</v>
      </c>
      <c r="C1847" s="465"/>
      <c r="D1847" s="232" t="s">
        <v>148</v>
      </c>
      <c r="E1847" s="272" t="s">
        <v>695</v>
      </c>
      <c r="F1847" s="155" t="str">
        <f>_xlfn.XLOOKUP(B1847,STUDIES!$A$3:$A$1063,STUDIES!$G$3:$G$1063,"Not Found!")</f>
        <v>A</v>
      </c>
      <c r="G1847" s="273" t="s">
        <v>147</v>
      </c>
      <c r="H1847" s="273">
        <v>16</v>
      </c>
      <c r="I1847" s="273">
        <v>146</v>
      </c>
      <c r="K1847" s="268">
        <v>7.2</v>
      </c>
      <c r="M1847" s="268">
        <v>1.9</v>
      </c>
      <c r="Q1847" s="275"/>
      <c r="R1847" s="276"/>
      <c r="AJ1847" s="276">
        <v>-18</v>
      </c>
      <c r="AK1847" s="268">
        <v>4.0999999999999996</v>
      </c>
    </row>
    <row r="1848" spans="1:37" ht="18" customHeight="1" x14ac:dyDescent="0.35">
      <c r="A1848" s="274">
        <f>MATCH(B1848,STUDIES!$A$3:$A$502,0)</f>
        <v>78</v>
      </c>
      <c r="B1848" s="86" t="s">
        <v>1637</v>
      </c>
      <c r="C1848" s="465"/>
      <c r="D1848" s="230" t="s">
        <v>1073</v>
      </c>
      <c r="E1848" s="272" t="s">
        <v>695</v>
      </c>
      <c r="F1848" s="155" t="str">
        <f>_xlfn.XLOOKUP(B1848,STUDIES!$A$3:$A$1063,STUDIES!$G$3:$G$1063,"Not Found!")</f>
        <v>A</v>
      </c>
      <c r="G1848" s="273" t="s">
        <v>147</v>
      </c>
      <c r="H1848" s="273">
        <v>16</v>
      </c>
      <c r="I1848" s="273">
        <v>281</v>
      </c>
      <c r="K1848" s="268">
        <v>7.1</v>
      </c>
      <c r="M1848" s="268">
        <v>1.9</v>
      </c>
      <c r="Q1848" s="275"/>
      <c r="R1848" s="276"/>
      <c r="AJ1848" s="276">
        <v>-46.3</v>
      </c>
      <c r="AK1848" s="268">
        <v>2.8</v>
      </c>
    </row>
    <row r="1849" spans="1:37" ht="18" customHeight="1" x14ac:dyDescent="0.35">
      <c r="A1849" s="274">
        <f>MATCH(B1849,STUDIES!$A$3:$A$502,0)</f>
        <v>79</v>
      </c>
      <c r="B1849" s="86" t="s">
        <v>1638</v>
      </c>
      <c r="C1849" s="465"/>
      <c r="D1849" s="232" t="s">
        <v>148</v>
      </c>
      <c r="E1849" s="272" t="s">
        <v>151</v>
      </c>
      <c r="F1849" s="155" t="str">
        <f>_xlfn.XLOOKUP(B1849,STUDIES!$A$3:$A$1063,STUDIES!$G$3:$G$1063,"Not Found!")</f>
        <v>A</v>
      </c>
      <c r="G1849" s="273" t="s">
        <v>147</v>
      </c>
      <c r="H1849" s="273">
        <v>16</v>
      </c>
      <c r="I1849" s="273">
        <v>141</v>
      </c>
      <c r="K1849" s="268">
        <v>31</v>
      </c>
      <c r="M1849" s="268">
        <v>12.9</v>
      </c>
      <c r="Q1849" s="275"/>
      <c r="R1849" s="276"/>
      <c r="AJ1849" s="276">
        <v>-35.6</v>
      </c>
      <c r="AK1849" s="268">
        <v>3.9</v>
      </c>
    </row>
    <row r="1850" spans="1:37" ht="18" customHeight="1" x14ac:dyDescent="0.35">
      <c r="A1850" s="274">
        <f>MATCH(B1850,STUDIES!$A$3:$A$502,0)</f>
        <v>79</v>
      </c>
      <c r="B1850" s="86" t="s">
        <v>1638</v>
      </c>
      <c r="C1850" s="465"/>
      <c r="D1850" s="230" t="s">
        <v>1073</v>
      </c>
      <c r="E1850" s="272" t="s">
        <v>151</v>
      </c>
      <c r="F1850" s="155" t="str">
        <f>_xlfn.XLOOKUP(B1850,STUDIES!$A$3:$A$1063,STUDIES!$G$3:$G$1063,"Not Found!")</f>
        <v>A</v>
      </c>
      <c r="G1850" s="273" t="s">
        <v>147</v>
      </c>
      <c r="H1850" s="273">
        <v>16</v>
      </c>
      <c r="I1850" s="273">
        <v>283</v>
      </c>
      <c r="K1850" s="268">
        <v>28.8</v>
      </c>
      <c r="M1850" s="268">
        <v>11.3</v>
      </c>
      <c r="Q1850" s="275"/>
      <c r="R1850" s="276"/>
      <c r="AJ1850" s="276">
        <v>-71.900000000000006</v>
      </c>
      <c r="AK1850" s="268">
        <v>2.7</v>
      </c>
    </row>
    <row r="1851" spans="1:37" ht="18" customHeight="1" x14ac:dyDescent="0.35">
      <c r="A1851" s="274">
        <f>MATCH(B1851,STUDIES!$A$3:$A$502,0)</f>
        <v>79</v>
      </c>
      <c r="B1851" s="86" t="s">
        <v>1638</v>
      </c>
      <c r="C1851" s="465"/>
      <c r="D1851" s="232" t="s">
        <v>148</v>
      </c>
      <c r="E1851" s="272" t="s">
        <v>695</v>
      </c>
      <c r="F1851" s="155" t="str">
        <f>_xlfn.XLOOKUP(B1851,STUDIES!$A$3:$A$1063,STUDIES!$G$3:$G$1063,"Not Found!")</f>
        <v>A</v>
      </c>
      <c r="G1851" s="273" t="s">
        <v>147</v>
      </c>
      <c r="H1851" s="273">
        <v>16</v>
      </c>
      <c r="I1851" s="273">
        <v>141</v>
      </c>
      <c r="K1851" s="268">
        <v>7.3</v>
      </c>
      <c r="M1851" s="268">
        <v>1.7</v>
      </c>
      <c r="Q1851" s="275"/>
      <c r="R1851" s="276"/>
      <c r="AJ1851" s="276">
        <v>-21.35</v>
      </c>
      <c r="AK1851" s="268">
        <v>3.9</v>
      </c>
    </row>
    <row r="1852" spans="1:37" ht="18" customHeight="1" x14ac:dyDescent="0.35">
      <c r="A1852" s="274">
        <f>MATCH(B1852,STUDIES!$A$3:$A$502,0)</f>
        <v>79</v>
      </c>
      <c r="B1852" s="86" t="s">
        <v>1638</v>
      </c>
      <c r="C1852" s="465"/>
      <c r="D1852" s="230" t="s">
        <v>1073</v>
      </c>
      <c r="E1852" s="272" t="s">
        <v>695</v>
      </c>
      <c r="F1852" s="155" t="str">
        <f>_xlfn.XLOOKUP(B1852,STUDIES!$A$3:$A$1063,STUDIES!$G$3:$G$1063,"Not Found!")</f>
        <v>A</v>
      </c>
      <c r="G1852" s="273" t="s">
        <v>147</v>
      </c>
      <c r="H1852" s="273">
        <v>16</v>
      </c>
      <c r="I1852" s="273">
        <v>283</v>
      </c>
      <c r="K1852" s="268">
        <v>7.2</v>
      </c>
      <c r="M1852" s="268">
        <v>1.9</v>
      </c>
      <c r="Q1852" s="275"/>
      <c r="R1852" s="276"/>
      <c r="AJ1852" s="276">
        <v>-53.3</v>
      </c>
      <c r="AK1852" s="268">
        <v>2.6</v>
      </c>
    </row>
    <row r="1853" spans="1:37" ht="18" customHeight="1" x14ac:dyDescent="0.35">
      <c r="A1853" s="274">
        <f>MATCH(B1853,STUDIES!$A$3:$A$502,0)</f>
        <v>23</v>
      </c>
      <c r="B1853" s="272" t="s">
        <v>869</v>
      </c>
      <c r="D1853" s="281" t="s">
        <v>1084</v>
      </c>
      <c r="E1853" s="272" t="s">
        <v>154</v>
      </c>
      <c r="F1853" s="155" t="str">
        <f>_xlfn.XLOOKUP(B1853,STUDIES!$A$3:$A$1063,STUDIES!$G$3:$G$1063,"Not Found!")</f>
        <v>A</v>
      </c>
      <c r="G1853" s="273" t="s">
        <v>147</v>
      </c>
      <c r="H1853" s="273">
        <v>16</v>
      </c>
      <c r="I1853" s="273">
        <v>135</v>
      </c>
      <c r="R1853" s="283">
        <v>-5.7</v>
      </c>
      <c r="S1853" s="268">
        <v>0.4</v>
      </c>
    </row>
    <row r="1854" spans="1:37" ht="18" customHeight="1" x14ac:dyDescent="0.35">
      <c r="A1854" s="274">
        <f>MATCH(B1854,STUDIES!$A$3:$A$502,0)</f>
        <v>23</v>
      </c>
      <c r="B1854" s="272" t="s">
        <v>869</v>
      </c>
      <c r="D1854" s="317" t="s">
        <v>148</v>
      </c>
      <c r="E1854" s="272" t="s">
        <v>154</v>
      </c>
      <c r="F1854" s="155" t="str">
        <f>_xlfn.XLOOKUP(B1854,STUDIES!$A$3:$A$1063,STUDIES!$G$3:$G$1063,"Not Found!")</f>
        <v>A</v>
      </c>
      <c r="G1854" s="273" t="s">
        <v>147</v>
      </c>
      <c r="H1854" s="273">
        <v>16</v>
      </c>
      <c r="I1854" s="273">
        <v>66</v>
      </c>
      <c r="R1854" s="283">
        <v>-3.2</v>
      </c>
      <c r="S1854" s="268">
        <v>0.7</v>
      </c>
    </row>
    <row r="1855" spans="1:37" ht="18" customHeight="1" x14ac:dyDescent="0.35">
      <c r="A1855" s="274">
        <f>MATCH(B1855,STUDIES!$A$3:$A$502,0)</f>
        <v>23</v>
      </c>
      <c r="B1855" s="272" t="s">
        <v>869</v>
      </c>
      <c r="D1855" s="281" t="s">
        <v>1084</v>
      </c>
      <c r="E1855" s="272" t="s">
        <v>153</v>
      </c>
      <c r="F1855" s="155" t="str">
        <f>_xlfn.XLOOKUP(B1855,STUDIES!$A$3:$A$1063,STUDIES!$G$3:$G$1063,"Not Found!")</f>
        <v>A</v>
      </c>
      <c r="G1855" s="273" t="s">
        <v>147</v>
      </c>
      <c r="H1855" s="273">
        <v>16</v>
      </c>
      <c r="I1855" s="273">
        <v>140</v>
      </c>
      <c r="R1855" s="283">
        <v>-8.4</v>
      </c>
      <c r="S1855" s="268">
        <v>0.6</v>
      </c>
    </row>
    <row r="1856" spans="1:37" ht="18" customHeight="1" x14ac:dyDescent="0.35">
      <c r="A1856" s="274">
        <f>MATCH(B1856,STUDIES!$A$3:$A$502,0)</f>
        <v>23</v>
      </c>
      <c r="B1856" s="272" t="s">
        <v>869</v>
      </c>
      <c r="D1856" s="317" t="s">
        <v>148</v>
      </c>
      <c r="E1856" s="272" t="s">
        <v>153</v>
      </c>
      <c r="F1856" s="155" t="str">
        <f>_xlfn.XLOOKUP(B1856,STUDIES!$A$3:$A$1063,STUDIES!$G$3:$G$1063,"Not Found!")</f>
        <v>A</v>
      </c>
      <c r="G1856" s="273" t="s">
        <v>147</v>
      </c>
      <c r="H1856" s="273">
        <v>16</v>
      </c>
      <c r="I1856" s="273">
        <v>68</v>
      </c>
      <c r="R1856" s="283">
        <v>-2.8</v>
      </c>
      <c r="S1856" s="268">
        <v>0.9</v>
      </c>
    </row>
    <row r="1857" spans="1:20" ht="18" customHeight="1" x14ac:dyDescent="0.35">
      <c r="A1857" s="274">
        <f>MATCH(B1857,STUDIES!$A$3:$A$502,0)</f>
        <v>34</v>
      </c>
      <c r="B1857" s="272" t="s">
        <v>709</v>
      </c>
      <c r="D1857" s="281" t="s">
        <v>1081</v>
      </c>
      <c r="E1857" s="272" t="s">
        <v>154</v>
      </c>
      <c r="F1857" s="155" t="str">
        <f>_xlfn.XLOOKUP(B1857,STUDIES!$A$3:$A$1063,STUDIES!$G$3:$G$1063,"Not Found!")</f>
        <v>A</v>
      </c>
      <c r="G1857" s="273" t="s">
        <v>147</v>
      </c>
      <c r="H1857" s="273">
        <v>12</v>
      </c>
      <c r="I1857" s="273">
        <v>39</v>
      </c>
      <c r="R1857" s="283">
        <v>-10.7</v>
      </c>
      <c r="T1857" s="268">
        <v>6.97</v>
      </c>
    </row>
    <row r="1858" spans="1:20" ht="18" customHeight="1" x14ac:dyDescent="0.35">
      <c r="A1858" s="274">
        <f>MATCH(B1858,STUDIES!$A$3:$A$502,0)</f>
        <v>34</v>
      </c>
      <c r="B1858" s="272" t="s">
        <v>709</v>
      </c>
      <c r="D1858" s="269" t="s">
        <v>1082</v>
      </c>
      <c r="E1858" s="272" t="s">
        <v>154</v>
      </c>
      <c r="F1858" s="155" t="str">
        <f>_xlfn.XLOOKUP(B1858,STUDIES!$A$3:$A$1063,STUDIES!$G$3:$G$1063,"Not Found!")</f>
        <v>A</v>
      </c>
      <c r="G1858" s="273" t="s">
        <v>147</v>
      </c>
      <c r="H1858" s="273">
        <v>12</v>
      </c>
      <c r="I1858" s="273">
        <v>42</v>
      </c>
      <c r="R1858" s="283">
        <v>-9</v>
      </c>
      <c r="T1858" s="268">
        <v>8.23</v>
      </c>
    </row>
    <row r="1859" spans="1:20" ht="18" customHeight="1" x14ac:dyDescent="0.35">
      <c r="A1859" s="274">
        <f>MATCH(B1859,STUDIES!$A$3:$A$502,0)</f>
        <v>34</v>
      </c>
      <c r="B1859" s="272" t="s">
        <v>709</v>
      </c>
      <c r="D1859" s="269" t="s">
        <v>1083</v>
      </c>
      <c r="E1859" s="272" t="s">
        <v>154</v>
      </c>
      <c r="F1859" s="155" t="str">
        <f>_xlfn.XLOOKUP(B1859,STUDIES!$A$3:$A$1063,STUDIES!$G$3:$G$1063,"Not Found!")</f>
        <v>A</v>
      </c>
      <c r="G1859" s="273" t="s">
        <v>147</v>
      </c>
      <c r="H1859" s="273">
        <v>12</v>
      </c>
      <c r="I1859" s="273">
        <v>47</v>
      </c>
      <c r="R1859" s="283">
        <v>-9.3000000000000007</v>
      </c>
      <c r="T1859" s="268">
        <v>8.33</v>
      </c>
    </row>
    <row r="1860" spans="1:20" ht="18" customHeight="1" x14ac:dyDescent="0.35">
      <c r="A1860" s="274">
        <f>MATCH(B1860,STUDIES!$A$3:$A$502,0)</f>
        <v>34</v>
      </c>
      <c r="B1860" s="272" t="s">
        <v>709</v>
      </c>
      <c r="D1860" s="281" t="s">
        <v>148</v>
      </c>
      <c r="E1860" s="272" t="s">
        <v>154</v>
      </c>
      <c r="F1860" s="155" t="str">
        <f>_xlfn.XLOOKUP(B1860,STUDIES!$A$3:$A$1063,STUDIES!$G$3:$G$1063,"Not Found!")</f>
        <v>A</v>
      </c>
      <c r="G1860" s="273" t="s">
        <v>147</v>
      </c>
      <c r="H1860" s="273">
        <v>12</v>
      </c>
      <c r="I1860" s="273">
        <v>42</v>
      </c>
      <c r="R1860" s="283">
        <v>-7.6</v>
      </c>
      <c r="T1860" s="268">
        <v>7.48</v>
      </c>
    </row>
    <row r="1861" spans="1:20" ht="18" customHeight="1" x14ac:dyDescent="0.35">
      <c r="A1861" s="274">
        <f>MATCH(B1861,STUDIES!$A$3:$A$502,0)</f>
        <v>34</v>
      </c>
      <c r="B1861" s="272" t="s">
        <v>709</v>
      </c>
      <c r="D1861" s="281" t="s">
        <v>1081</v>
      </c>
      <c r="E1861" s="272" t="s">
        <v>154</v>
      </c>
      <c r="F1861" s="155" t="str">
        <f>_xlfn.XLOOKUP(B1861,STUDIES!$A$3:$A$1063,STUDIES!$G$3:$G$1063,"Not Found!")</f>
        <v>A</v>
      </c>
      <c r="G1861" s="273" t="s">
        <v>152</v>
      </c>
      <c r="H1861" s="273">
        <v>24</v>
      </c>
      <c r="I1861" s="273">
        <v>37</v>
      </c>
      <c r="R1861" s="283">
        <v>-11.8</v>
      </c>
      <c r="T1861" s="268">
        <v>7.69</v>
      </c>
    </row>
    <row r="1862" spans="1:20" ht="18" customHeight="1" x14ac:dyDescent="0.35">
      <c r="A1862" s="274">
        <f>MATCH(B1862,STUDIES!$A$3:$A$502,0)</f>
        <v>34</v>
      </c>
      <c r="B1862" s="272" t="s">
        <v>709</v>
      </c>
      <c r="D1862" s="269" t="s">
        <v>1082</v>
      </c>
      <c r="E1862" s="272" t="s">
        <v>154</v>
      </c>
      <c r="F1862" s="155" t="str">
        <f>_xlfn.XLOOKUP(B1862,STUDIES!$A$3:$A$1063,STUDIES!$G$3:$G$1063,"Not Found!")</f>
        <v>A</v>
      </c>
      <c r="G1862" s="273" t="s">
        <v>152</v>
      </c>
      <c r="H1862" s="273">
        <v>24</v>
      </c>
      <c r="I1862" s="273">
        <v>39</v>
      </c>
      <c r="R1862" s="283">
        <v>-10.3</v>
      </c>
      <c r="T1862" s="268">
        <v>7.73</v>
      </c>
    </row>
    <row r="1863" spans="1:20" ht="18" customHeight="1" x14ac:dyDescent="0.35">
      <c r="A1863" s="274">
        <f>MATCH(B1863,STUDIES!$A$3:$A$502,0)</f>
        <v>34</v>
      </c>
      <c r="B1863" s="272" t="s">
        <v>709</v>
      </c>
      <c r="D1863" s="269" t="s">
        <v>1083</v>
      </c>
      <c r="E1863" s="272" t="s">
        <v>154</v>
      </c>
      <c r="F1863" s="155" t="str">
        <f>_xlfn.XLOOKUP(B1863,STUDIES!$A$3:$A$1063,STUDIES!$G$3:$G$1063,"Not Found!")</f>
        <v>A</v>
      </c>
      <c r="G1863" s="273" t="s">
        <v>152</v>
      </c>
      <c r="H1863" s="273">
        <v>24</v>
      </c>
      <c r="I1863" s="273">
        <v>35</v>
      </c>
      <c r="R1863" s="283">
        <v>-10.8</v>
      </c>
      <c r="T1863" s="268">
        <v>7.71</v>
      </c>
    </row>
    <row r="1864" spans="1:20" ht="18" customHeight="1" x14ac:dyDescent="0.35">
      <c r="A1864" s="274">
        <f>MATCH(B1864,STUDIES!$A$3:$A$502,0)</f>
        <v>34</v>
      </c>
      <c r="B1864" s="272" t="s">
        <v>709</v>
      </c>
      <c r="D1864" s="281" t="s">
        <v>148</v>
      </c>
      <c r="E1864" s="272" t="s">
        <v>154</v>
      </c>
      <c r="F1864" s="155" t="str">
        <f>_xlfn.XLOOKUP(B1864,STUDIES!$A$3:$A$1063,STUDIES!$G$3:$G$1063,"Not Found!")</f>
        <v>A</v>
      </c>
      <c r="G1864" s="273" t="s">
        <v>152</v>
      </c>
      <c r="H1864" s="273">
        <v>24</v>
      </c>
      <c r="I1864" s="273">
        <v>34</v>
      </c>
      <c r="R1864" s="283">
        <v>-9.4</v>
      </c>
      <c r="T1864" s="268">
        <v>7.94</v>
      </c>
    </row>
    <row r="1865" spans="1:20" ht="18" customHeight="1" x14ac:dyDescent="0.35">
      <c r="A1865" s="274">
        <f>MATCH(B1865,STUDIES!$A$3:$A$502,0)</f>
        <v>83</v>
      </c>
      <c r="B1865" s="86" t="s">
        <v>1614</v>
      </c>
      <c r="C1865" s="465"/>
      <c r="D1865" s="232" t="s">
        <v>148</v>
      </c>
      <c r="E1865" s="272" t="s">
        <v>1258</v>
      </c>
      <c r="F1865" s="155" t="str">
        <f>_xlfn.XLOOKUP(B1865,STUDIES!$A$3:$A$1063,STUDIES!$G$3:$G$1063,"Not Found!")</f>
        <v>A</v>
      </c>
      <c r="G1865" s="273" t="s">
        <v>147</v>
      </c>
      <c r="H1865" s="273">
        <v>16</v>
      </c>
      <c r="I1865" s="273">
        <v>66</v>
      </c>
      <c r="J1865" s="274">
        <v>37</v>
      </c>
    </row>
    <row r="1866" spans="1:20" ht="18" customHeight="1" x14ac:dyDescent="0.35">
      <c r="A1866" s="274">
        <f>MATCH(B1866,STUDIES!$A$3:$A$502,0)</f>
        <v>83</v>
      </c>
      <c r="B1866" s="86" t="s">
        <v>1614</v>
      </c>
      <c r="C1866" s="465"/>
      <c r="D1866" s="230" t="s">
        <v>1073</v>
      </c>
      <c r="E1866" s="272" t="s">
        <v>1258</v>
      </c>
      <c r="F1866" s="155" t="str">
        <f>_xlfn.XLOOKUP(B1866,STUDIES!$A$3:$A$1063,STUDIES!$G$3:$G$1063,"Not Found!")</f>
        <v>A</v>
      </c>
      <c r="G1866" s="273" t="s">
        <v>147</v>
      </c>
      <c r="H1866" s="273">
        <v>16</v>
      </c>
      <c r="I1866" s="273">
        <v>145</v>
      </c>
      <c r="J1866" s="274">
        <v>116</v>
      </c>
    </row>
    <row r="1867" spans="1:20" ht="18" customHeight="1" x14ac:dyDescent="0.35">
      <c r="A1867" s="274">
        <f>MATCH(B1867,STUDIES!$A$3:$A$502,0)</f>
        <v>78</v>
      </c>
      <c r="B1867" s="86" t="s">
        <v>1637</v>
      </c>
      <c r="C1867" s="465"/>
      <c r="D1867" s="232" t="s">
        <v>148</v>
      </c>
      <c r="E1867" s="272" t="s">
        <v>1258</v>
      </c>
      <c r="F1867" s="155" t="str">
        <f>_xlfn.XLOOKUP(B1867,STUDIES!$A$3:$A$1063,STUDIES!$G$3:$G$1063,"Not Found!")</f>
        <v>A</v>
      </c>
      <c r="G1867" s="273" t="s">
        <v>147</v>
      </c>
      <c r="H1867" s="273">
        <v>16</v>
      </c>
      <c r="I1867" s="273">
        <v>146</v>
      </c>
      <c r="J1867" s="274">
        <v>43</v>
      </c>
    </row>
    <row r="1868" spans="1:20" ht="18" customHeight="1" x14ac:dyDescent="0.35">
      <c r="A1868" s="274">
        <f>MATCH(B1868,STUDIES!$A$3:$A$502,0)</f>
        <v>78</v>
      </c>
      <c r="B1868" s="86" t="s">
        <v>1637</v>
      </c>
      <c r="C1868" s="465"/>
      <c r="D1868" s="230" t="s">
        <v>1073</v>
      </c>
      <c r="E1868" s="272" t="s">
        <v>1258</v>
      </c>
      <c r="F1868" s="155" t="str">
        <f>_xlfn.XLOOKUP(B1868,STUDIES!$A$3:$A$1063,STUDIES!$G$3:$G$1063,"Not Found!")</f>
        <v>A</v>
      </c>
      <c r="G1868" s="273" t="s">
        <v>147</v>
      </c>
      <c r="H1868" s="273">
        <v>16</v>
      </c>
      <c r="I1868" s="273">
        <v>281</v>
      </c>
      <c r="J1868" s="274">
        <v>185</v>
      </c>
    </row>
    <row r="1869" spans="1:20" ht="18" customHeight="1" x14ac:dyDescent="0.35">
      <c r="A1869" s="274">
        <f>MATCH(B1869,STUDIES!$A$3:$A$502,0)</f>
        <v>79</v>
      </c>
      <c r="B1869" s="86" t="s">
        <v>1638</v>
      </c>
      <c r="C1869" s="465"/>
      <c r="D1869" s="232" t="s">
        <v>148</v>
      </c>
      <c r="E1869" s="272" t="s">
        <v>1258</v>
      </c>
      <c r="F1869" s="155" t="str">
        <f>_xlfn.XLOOKUP(B1869,STUDIES!$A$3:$A$1063,STUDIES!$G$3:$G$1063,"Not Found!")</f>
        <v>A</v>
      </c>
      <c r="G1869" s="273" t="s">
        <v>147</v>
      </c>
      <c r="H1869" s="273">
        <v>16</v>
      </c>
      <c r="I1869" s="273">
        <v>141</v>
      </c>
      <c r="J1869" s="274">
        <v>42</v>
      </c>
    </row>
    <row r="1870" spans="1:20" ht="18" customHeight="1" x14ac:dyDescent="0.35">
      <c r="A1870" s="274">
        <f>MATCH(B1870,STUDIES!$A$3:$A$502,0)</f>
        <v>79</v>
      </c>
      <c r="B1870" s="86" t="s">
        <v>1638</v>
      </c>
      <c r="C1870" s="465"/>
      <c r="D1870" s="230" t="s">
        <v>1073</v>
      </c>
      <c r="E1870" s="272" t="s">
        <v>1258</v>
      </c>
      <c r="F1870" s="155" t="str">
        <f>_xlfn.XLOOKUP(B1870,STUDIES!$A$3:$A$1063,STUDIES!$G$3:$G$1063,"Not Found!")</f>
        <v>A</v>
      </c>
      <c r="G1870" s="273" t="s">
        <v>147</v>
      </c>
      <c r="H1870" s="273">
        <v>16</v>
      </c>
      <c r="I1870" s="273">
        <v>283</v>
      </c>
      <c r="J1870" s="274">
        <v>194</v>
      </c>
    </row>
    <row r="1871" spans="1:20" ht="18" customHeight="1" x14ac:dyDescent="0.35">
      <c r="A1871" s="274">
        <f>MATCH(B1871,STUDIES!$A$3:$A$502,0)</f>
        <v>63</v>
      </c>
      <c r="B1871" s="272" t="s">
        <v>1655</v>
      </c>
      <c r="D1871" s="281" t="s">
        <v>1096</v>
      </c>
      <c r="E1871" s="272" t="s">
        <v>1167</v>
      </c>
      <c r="F1871" s="155" t="str">
        <f>_xlfn.XLOOKUP(B1871,STUDIES!$A$3:$A$1063,STUDIES!$G$3:$G$1063,"Not Found!")</f>
        <v>BC</v>
      </c>
      <c r="G1871" s="273" t="s">
        <v>147</v>
      </c>
      <c r="H1871" s="273">
        <v>16</v>
      </c>
      <c r="I1871" s="273">
        <v>97</v>
      </c>
      <c r="J1871" s="274">
        <v>0</v>
      </c>
    </row>
    <row r="1872" spans="1:20" ht="18" customHeight="1" x14ac:dyDescent="0.35">
      <c r="A1872" s="274">
        <f>MATCH(B1872,STUDIES!$A$3:$A$502,0)</f>
        <v>63</v>
      </c>
      <c r="B1872" s="272" t="s">
        <v>1655</v>
      </c>
      <c r="D1872" s="281" t="s">
        <v>1274</v>
      </c>
      <c r="E1872" s="272" t="s">
        <v>1167</v>
      </c>
      <c r="F1872" s="155" t="str">
        <f>_xlfn.XLOOKUP(B1872,STUDIES!$A$3:$A$1063,STUDIES!$G$3:$G$1063,"Not Found!")</f>
        <v>BC</v>
      </c>
      <c r="G1872" s="273" t="s">
        <v>147</v>
      </c>
      <c r="H1872" s="273">
        <v>16</v>
      </c>
      <c r="I1872" s="273">
        <v>98</v>
      </c>
      <c r="J1872" s="274">
        <v>1</v>
      </c>
    </row>
    <row r="1873" spans="1:23" ht="18" customHeight="1" x14ac:dyDescent="0.35">
      <c r="A1873" s="274">
        <f>MATCH(B1873,STUDIES!$A$3:$A$502,0)</f>
        <v>63</v>
      </c>
      <c r="B1873" s="272" t="s">
        <v>1655</v>
      </c>
      <c r="D1873" s="281" t="s">
        <v>148</v>
      </c>
      <c r="E1873" s="272" t="s">
        <v>1167</v>
      </c>
      <c r="F1873" s="155" t="str">
        <f>_xlfn.XLOOKUP(B1873,STUDIES!$A$3:$A$1063,STUDIES!$G$3:$G$1063,"Not Found!")</f>
        <v>BC</v>
      </c>
      <c r="G1873" s="273" t="s">
        <v>147</v>
      </c>
      <c r="H1873" s="273">
        <v>16</v>
      </c>
      <c r="I1873" s="273">
        <v>94</v>
      </c>
      <c r="J1873" s="274">
        <v>0</v>
      </c>
    </row>
    <row r="1874" spans="1:23" ht="18" customHeight="1" x14ac:dyDescent="0.35">
      <c r="A1874" s="274">
        <f>MATCH(B1874,STUDIES!$A$3:$A$502,0)</f>
        <v>59</v>
      </c>
      <c r="B1874" s="272" t="s">
        <v>1203</v>
      </c>
      <c r="C1874" s="435">
        <v>1</v>
      </c>
      <c r="D1874" s="281" t="s">
        <v>1098</v>
      </c>
      <c r="E1874" s="272" t="s">
        <v>153</v>
      </c>
      <c r="F1874" s="155" t="s">
        <v>1642</v>
      </c>
      <c r="G1874" s="273" t="s">
        <v>147</v>
      </c>
      <c r="H1874" s="273">
        <v>16</v>
      </c>
      <c r="I1874" s="273">
        <v>55</v>
      </c>
      <c r="R1874" s="283">
        <v>-11.4</v>
      </c>
      <c r="U1874" s="268">
        <v>-13.1</v>
      </c>
      <c r="V1874" s="268">
        <v>-9.6999999999999993</v>
      </c>
      <c r="W1874" s="268">
        <v>0.95</v>
      </c>
    </row>
    <row r="1875" spans="1:23" ht="18" customHeight="1" x14ac:dyDescent="0.35">
      <c r="A1875" s="274">
        <f>MATCH(B1875,STUDIES!$A$3:$A$502,0)</f>
        <v>59</v>
      </c>
      <c r="B1875" s="272" t="s">
        <v>1203</v>
      </c>
      <c r="C1875" s="435">
        <v>1</v>
      </c>
      <c r="D1875" s="281" t="s">
        <v>1099</v>
      </c>
      <c r="E1875" s="272" t="s">
        <v>153</v>
      </c>
      <c r="F1875" s="155" t="s">
        <v>1642</v>
      </c>
      <c r="G1875" s="273" t="s">
        <v>147</v>
      </c>
      <c r="H1875" s="273">
        <v>16</v>
      </c>
      <c r="I1875" s="273">
        <v>54</v>
      </c>
      <c r="R1875" s="283">
        <v>-12.7</v>
      </c>
      <c r="U1875" s="268">
        <v>-14.4</v>
      </c>
      <c r="V1875" s="268">
        <v>-11</v>
      </c>
      <c r="W1875" s="268">
        <v>0.95</v>
      </c>
    </row>
    <row r="1876" spans="1:23" ht="18" customHeight="1" x14ac:dyDescent="0.35">
      <c r="A1876" s="274">
        <f>MATCH(B1876,STUDIES!$A$3:$A$502,0)</f>
        <v>59</v>
      </c>
      <c r="B1876" s="272" t="s">
        <v>1203</v>
      </c>
      <c r="C1876" s="435">
        <v>1</v>
      </c>
      <c r="D1876" s="281" t="s">
        <v>148</v>
      </c>
      <c r="E1876" s="272" t="s">
        <v>153</v>
      </c>
      <c r="F1876" s="155" t="s">
        <v>1642</v>
      </c>
      <c r="G1876" s="273" t="s">
        <v>147</v>
      </c>
      <c r="H1876" s="273">
        <v>16</v>
      </c>
      <c r="I1876" s="273">
        <v>45</v>
      </c>
      <c r="R1876" s="283">
        <v>-5.8</v>
      </c>
      <c r="U1876" s="268">
        <v>-7.6</v>
      </c>
      <c r="V1876" s="268">
        <v>-4</v>
      </c>
      <c r="W1876" s="268">
        <v>0.95</v>
      </c>
    </row>
    <row r="1877" spans="1:23" ht="18" customHeight="1" x14ac:dyDescent="0.35">
      <c r="A1877" s="274">
        <f>MATCH(B1877,STUDIES!$A$3:$A$502,0)</f>
        <v>59</v>
      </c>
      <c r="B1877" s="272" t="s">
        <v>1203</v>
      </c>
      <c r="C1877" s="435">
        <v>1</v>
      </c>
      <c r="D1877" s="281" t="s">
        <v>1098</v>
      </c>
      <c r="E1877" s="272" t="s">
        <v>695</v>
      </c>
      <c r="F1877" s="155" t="s">
        <v>1642</v>
      </c>
      <c r="G1877" s="273" t="s">
        <v>147</v>
      </c>
      <c r="H1877" s="273">
        <v>16</v>
      </c>
      <c r="I1877" s="273">
        <v>50</v>
      </c>
      <c r="R1877" s="283">
        <v>-4.2</v>
      </c>
      <c r="U1877" s="268">
        <v>-4.8</v>
      </c>
      <c r="V1877" s="268">
        <v>-3.6</v>
      </c>
      <c r="W1877" s="268">
        <v>0.95</v>
      </c>
    </row>
    <row r="1878" spans="1:23" ht="18" customHeight="1" x14ac:dyDescent="0.35">
      <c r="A1878" s="274">
        <f>MATCH(B1878,STUDIES!$A$3:$A$502,0)</f>
        <v>59</v>
      </c>
      <c r="B1878" s="272" t="s">
        <v>1203</v>
      </c>
      <c r="C1878" s="435">
        <v>1</v>
      </c>
      <c r="D1878" s="281" t="s">
        <v>1099</v>
      </c>
      <c r="E1878" s="272" t="s">
        <v>695</v>
      </c>
      <c r="F1878" s="155" t="s">
        <v>1642</v>
      </c>
      <c r="G1878" s="273" t="s">
        <v>147</v>
      </c>
      <c r="H1878" s="273">
        <v>16</v>
      </c>
      <c r="I1878" s="273">
        <v>49</v>
      </c>
      <c r="R1878" s="283">
        <v>-4.7</v>
      </c>
      <c r="U1878" s="268">
        <v>-5.3</v>
      </c>
      <c r="V1878" s="268">
        <v>-4</v>
      </c>
      <c r="W1878" s="268">
        <v>0.95</v>
      </c>
    </row>
    <row r="1879" spans="1:23" ht="18" customHeight="1" x14ac:dyDescent="0.35">
      <c r="A1879" s="274">
        <f>MATCH(B1879,STUDIES!$A$3:$A$502,0)</f>
        <v>59</v>
      </c>
      <c r="B1879" s="272" t="s">
        <v>1203</v>
      </c>
      <c r="C1879" s="435">
        <v>1</v>
      </c>
      <c r="D1879" s="281" t="s">
        <v>148</v>
      </c>
      <c r="E1879" s="272" t="s">
        <v>695</v>
      </c>
      <c r="F1879" s="155" t="s">
        <v>1642</v>
      </c>
      <c r="G1879" s="273" t="s">
        <v>147</v>
      </c>
      <c r="H1879" s="273">
        <v>16</v>
      </c>
      <c r="I1879" s="273">
        <v>41</v>
      </c>
      <c r="R1879" s="283">
        <v>-2.4</v>
      </c>
      <c r="U1879" s="268">
        <v>-3.1</v>
      </c>
      <c r="V1879" s="268">
        <v>-1.8</v>
      </c>
      <c r="W1879" s="268">
        <v>0.95</v>
      </c>
    </row>
    <row r="1880" spans="1:23" ht="18" customHeight="1" x14ac:dyDescent="0.35">
      <c r="A1880" s="274">
        <f>MATCH(B1880,STUDIES!$A$3:$A$502,0)</f>
        <v>59</v>
      </c>
      <c r="B1880" s="272" t="s">
        <v>1203</v>
      </c>
      <c r="C1880" s="435">
        <v>1</v>
      </c>
      <c r="D1880" s="281" t="s">
        <v>1098</v>
      </c>
      <c r="E1880" s="272" t="s">
        <v>154</v>
      </c>
      <c r="F1880" s="155" t="s">
        <v>1642</v>
      </c>
      <c r="G1880" s="273" t="s">
        <v>147</v>
      </c>
      <c r="H1880" s="273">
        <v>16</v>
      </c>
      <c r="I1880" s="273">
        <v>20</v>
      </c>
      <c r="R1880" s="283">
        <v>-8.9</v>
      </c>
      <c r="U1880" s="268">
        <v>-11.1</v>
      </c>
      <c r="V1880" s="268">
        <v>-6.7</v>
      </c>
      <c r="W1880" s="268">
        <v>0.95</v>
      </c>
    </row>
    <row r="1881" spans="1:23" ht="18" customHeight="1" x14ac:dyDescent="0.35">
      <c r="A1881" s="274">
        <f>MATCH(B1881,STUDIES!$A$3:$A$502,0)</f>
        <v>59</v>
      </c>
      <c r="B1881" s="272" t="s">
        <v>1203</v>
      </c>
      <c r="C1881" s="435">
        <v>1</v>
      </c>
      <c r="D1881" s="281" t="s">
        <v>1099</v>
      </c>
      <c r="E1881" s="272" t="s">
        <v>154</v>
      </c>
      <c r="F1881" s="155" t="s">
        <v>1642</v>
      </c>
      <c r="G1881" s="273" t="s">
        <v>147</v>
      </c>
      <c r="H1881" s="273">
        <v>16</v>
      </c>
      <c r="I1881" s="273">
        <v>20</v>
      </c>
      <c r="R1881" s="283">
        <v>-9.1</v>
      </c>
      <c r="U1881" s="268">
        <v>-11.3</v>
      </c>
      <c r="V1881" s="268">
        <v>-6.8</v>
      </c>
      <c r="W1881" s="268">
        <v>0.95</v>
      </c>
    </row>
    <row r="1882" spans="1:23" ht="18" customHeight="1" x14ac:dyDescent="0.35">
      <c r="A1882" s="274">
        <f>MATCH(B1882,STUDIES!$A$3:$A$502,0)</f>
        <v>59</v>
      </c>
      <c r="B1882" s="272" t="s">
        <v>1203</v>
      </c>
      <c r="C1882" s="435">
        <v>1</v>
      </c>
      <c r="D1882" s="281" t="s">
        <v>148</v>
      </c>
      <c r="E1882" s="272" t="s">
        <v>154</v>
      </c>
      <c r="F1882" s="155" t="s">
        <v>1642</v>
      </c>
      <c r="G1882" s="273" t="s">
        <v>147</v>
      </c>
      <c r="H1882" s="273">
        <v>16</v>
      </c>
      <c r="I1882" s="273">
        <v>15</v>
      </c>
      <c r="R1882" s="283">
        <v>-6.3</v>
      </c>
      <c r="U1882" s="268">
        <v>-8.6999999999999993</v>
      </c>
      <c r="V1882" s="268">
        <v>-4</v>
      </c>
      <c r="W1882" s="268">
        <v>0.95</v>
      </c>
    </row>
    <row r="1883" spans="1:23" ht="18" customHeight="1" x14ac:dyDescent="0.35">
      <c r="A1883" s="274">
        <f>MATCH(B1883,STUDIES!$A$3:$A$502,0)</f>
        <v>59</v>
      </c>
      <c r="B1883" s="272" t="s">
        <v>1203</v>
      </c>
      <c r="C1883" s="435">
        <v>1</v>
      </c>
      <c r="D1883" s="281" t="s">
        <v>1098</v>
      </c>
      <c r="E1883" s="272" t="s">
        <v>694</v>
      </c>
      <c r="F1883" s="155" t="s">
        <v>1642</v>
      </c>
      <c r="G1883" s="273" t="s">
        <v>147</v>
      </c>
      <c r="H1883" s="273">
        <v>16</v>
      </c>
      <c r="I1883" s="273">
        <v>35</v>
      </c>
      <c r="R1883" s="283">
        <v>-9.3000000000000007</v>
      </c>
      <c r="U1883" s="268">
        <v>-10.8</v>
      </c>
      <c r="V1883" s="268">
        <v>-7.7</v>
      </c>
      <c r="W1883" s="268">
        <v>0.95</v>
      </c>
    </row>
    <row r="1884" spans="1:23" ht="18" customHeight="1" x14ac:dyDescent="0.35">
      <c r="A1884" s="274">
        <f>MATCH(B1884,STUDIES!$A$3:$A$502,0)</f>
        <v>59</v>
      </c>
      <c r="B1884" s="272" t="s">
        <v>1203</v>
      </c>
      <c r="C1884" s="435">
        <v>1</v>
      </c>
      <c r="D1884" s="281" t="s">
        <v>1099</v>
      </c>
      <c r="E1884" s="272" t="s">
        <v>694</v>
      </c>
      <c r="F1884" s="155" t="s">
        <v>1642</v>
      </c>
      <c r="G1884" s="273" t="s">
        <v>147</v>
      </c>
      <c r="H1884" s="273">
        <v>16</v>
      </c>
      <c r="I1884" s="273">
        <v>36</v>
      </c>
      <c r="R1884" s="283">
        <v>-10</v>
      </c>
      <c r="U1884" s="268">
        <v>-11.5</v>
      </c>
      <c r="V1884" s="268">
        <v>-8.5</v>
      </c>
      <c r="W1884" s="268">
        <v>0.95</v>
      </c>
    </row>
    <row r="1885" spans="1:23" ht="18" customHeight="1" x14ac:dyDescent="0.35">
      <c r="A1885" s="274">
        <f>MATCH(B1885,STUDIES!$A$3:$A$502,0)</f>
        <v>59</v>
      </c>
      <c r="B1885" s="272" t="s">
        <v>1203</v>
      </c>
      <c r="C1885" s="435">
        <v>1</v>
      </c>
      <c r="D1885" s="281" t="s">
        <v>148</v>
      </c>
      <c r="E1885" s="272" t="s">
        <v>694</v>
      </c>
      <c r="F1885" s="155" t="s">
        <v>1642</v>
      </c>
      <c r="G1885" s="273" t="s">
        <v>147</v>
      </c>
      <c r="H1885" s="273">
        <v>16</v>
      </c>
      <c r="I1885" s="273">
        <v>30</v>
      </c>
      <c r="R1885" s="283">
        <v>-5</v>
      </c>
      <c r="U1885" s="268">
        <v>-6.7</v>
      </c>
      <c r="V1885" s="268">
        <v>-3.4</v>
      </c>
      <c r="W1885" s="268">
        <v>0.95</v>
      </c>
    </row>
    <row r="1886" spans="1:23" ht="18" customHeight="1" x14ac:dyDescent="0.35">
      <c r="A1886" s="274">
        <f>MATCH(B1886,STUDIES!$A$3:$A$502,0)</f>
        <v>57</v>
      </c>
      <c r="B1886" s="272" t="s">
        <v>1191</v>
      </c>
      <c r="C1886" s="435">
        <v>1</v>
      </c>
      <c r="D1886" s="281" t="s">
        <v>1098</v>
      </c>
      <c r="E1886" s="272" t="s">
        <v>151</v>
      </c>
      <c r="F1886" s="155" t="s">
        <v>1642</v>
      </c>
      <c r="G1886" s="273" t="s">
        <v>147</v>
      </c>
      <c r="H1886" s="273">
        <v>16</v>
      </c>
      <c r="I1886" s="452">
        <v>59</v>
      </c>
      <c r="J1886" s="453"/>
      <c r="K1886" s="284"/>
      <c r="L1886" s="284"/>
      <c r="M1886" s="284"/>
      <c r="N1886" s="284"/>
      <c r="O1886" s="284"/>
      <c r="P1886" s="284"/>
      <c r="Q1886" s="454"/>
      <c r="R1886" s="455">
        <v>-24.8</v>
      </c>
      <c r="S1886" s="284"/>
      <c r="T1886" s="284"/>
      <c r="U1886" s="284">
        <v>-26.9</v>
      </c>
      <c r="V1886" s="284">
        <v>-22.7</v>
      </c>
      <c r="W1886" s="268">
        <v>0.95</v>
      </c>
    </row>
    <row r="1887" spans="1:23" ht="18" customHeight="1" x14ac:dyDescent="0.35">
      <c r="A1887" s="274">
        <f>MATCH(B1887,STUDIES!$A$3:$A$502,0)</f>
        <v>57</v>
      </c>
      <c r="B1887" s="272" t="s">
        <v>1191</v>
      </c>
      <c r="C1887" s="435">
        <v>1</v>
      </c>
      <c r="D1887" s="281" t="s">
        <v>1099</v>
      </c>
      <c r="E1887" s="272" t="s">
        <v>151</v>
      </c>
      <c r="F1887" s="155" t="s">
        <v>1642</v>
      </c>
      <c r="G1887" s="273" t="s">
        <v>147</v>
      </c>
      <c r="H1887" s="273">
        <v>16</v>
      </c>
      <c r="I1887" s="452">
        <v>57</v>
      </c>
      <c r="J1887" s="453"/>
      <c r="K1887" s="284"/>
      <c r="L1887" s="284"/>
      <c r="M1887" s="284"/>
      <c r="N1887" s="284"/>
      <c r="O1887" s="284"/>
      <c r="P1887" s="284"/>
      <c r="Q1887" s="454"/>
      <c r="R1887" s="455">
        <v>-25.7</v>
      </c>
      <c r="S1887" s="284"/>
      <c r="T1887" s="284"/>
      <c r="U1887" s="284">
        <v>-27.9</v>
      </c>
      <c r="V1887" s="284">
        <v>-23.6</v>
      </c>
      <c r="W1887" s="268">
        <v>0.95</v>
      </c>
    </row>
    <row r="1888" spans="1:23" ht="18" customHeight="1" x14ac:dyDescent="0.35">
      <c r="A1888" s="274">
        <f>MATCH(B1888,STUDIES!$A$3:$A$502,0)</f>
        <v>57</v>
      </c>
      <c r="B1888" s="272" t="s">
        <v>1191</v>
      </c>
      <c r="C1888" s="435">
        <v>1</v>
      </c>
      <c r="D1888" s="281" t="s">
        <v>148</v>
      </c>
      <c r="E1888" s="272" t="s">
        <v>151</v>
      </c>
      <c r="F1888" s="155" t="s">
        <v>1642</v>
      </c>
      <c r="G1888" s="273" t="s">
        <v>147</v>
      </c>
      <c r="H1888" s="273">
        <v>16</v>
      </c>
      <c r="I1888" s="452">
        <v>30</v>
      </c>
      <c r="J1888" s="453"/>
      <c r="K1888" s="284"/>
      <c r="L1888" s="284"/>
      <c r="M1888" s="284"/>
      <c r="N1888" s="284"/>
      <c r="O1888" s="284"/>
      <c r="P1888" s="284"/>
      <c r="Q1888" s="454"/>
      <c r="R1888" s="455">
        <v>-11.3</v>
      </c>
      <c r="S1888" s="284"/>
      <c r="T1888" s="284"/>
      <c r="U1888" s="284">
        <v>-13.9</v>
      </c>
      <c r="V1888" s="284">
        <v>-8.8000000000000007</v>
      </c>
      <c r="W1888" s="268">
        <v>0.95</v>
      </c>
    </row>
    <row r="1889" spans="1:23" ht="18" customHeight="1" x14ac:dyDescent="0.35">
      <c r="A1889" s="274">
        <f>MATCH(B1889,STUDIES!$A$3:$A$502,0)</f>
        <v>57</v>
      </c>
      <c r="B1889" s="272" t="s">
        <v>1191</v>
      </c>
      <c r="C1889" s="435">
        <v>1</v>
      </c>
      <c r="D1889" s="281" t="s">
        <v>1098</v>
      </c>
      <c r="E1889" s="272" t="s">
        <v>153</v>
      </c>
      <c r="F1889" s="155" t="s">
        <v>1642</v>
      </c>
      <c r="G1889" s="273" t="s">
        <v>147</v>
      </c>
      <c r="H1889" s="273">
        <v>16</v>
      </c>
      <c r="I1889" s="452">
        <v>58</v>
      </c>
      <c r="J1889" s="453"/>
      <c r="K1889" s="284"/>
      <c r="L1889" s="284"/>
      <c r="M1889" s="284"/>
      <c r="N1889" s="284"/>
      <c r="O1889" s="284"/>
      <c r="P1889" s="284"/>
      <c r="Q1889" s="454"/>
      <c r="R1889" s="455">
        <v>-12.1</v>
      </c>
      <c r="S1889" s="284"/>
      <c r="T1889" s="284"/>
      <c r="U1889" s="284">
        <v>-13.8</v>
      </c>
      <c r="V1889" s="284">
        <v>-10.4</v>
      </c>
      <c r="W1889" s="268">
        <v>0.95</v>
      </c>
    </row>
    <row r="1890" spans="1:23" ht="18" customHeight="1" x14ac:dyDescent="0.35">
      <c r="A1890" s="274">
        <f>MATCH(B1890,STUDIES!$A$3:$A$502,0)</f>
        <v>57</v>
      </c>
      <c r="B1890" s="272" t="s">
        <v>1191</v>
      </c>
      <c r="C1890" s="435">
        <v>1</v>
      </c>
      <c r="D1890" s="281" t="s">
        <v>1099</v>
      </c>
      <c r="E1890" s="272" t="s">
        <v>153</v>
      </c>
      <c r="F1890" s="155" t="s">
        <v>1642</v>
      </c>
      <c r="G1890" s="273" t="s">
        <v>147</v>
      </c>
      <c r="H1890" s="273">
        <v>16</v>
      </c>
      <c r="I1890" s="452">
        <v>57</v>
      </c>
      <c r="J1890" s="453"/>
      <c r="K1890" s="284"/>
      <c r="L1890" s="284"/>
      <c r="M1890" s="284"/>
      <c r="N1890" s="284"/>
      <c r="O1890" s="284"/>
      <c r="P1890" s="284"/>
      <c r="Q1890" s="454"/>
      <c r="R1890" s="455">
        <v>-14.7</v>
      </c>
      <c r="S1890" s="284"/>
      <c r="T1890" s="284"/>
      <c r="U1890" s="284">
        <v>-16.5</v>
      </c>
      <c r="V1890" s="284">
        <v>-12.9</v>
      </c>
      <c r="W1890" s="268">
        <v>0.95</v>
      </c>
    </row>
    <row r="1891" spans="1:23" ht="18" customHeight="1" x14ac:dyDescent="0.35">
      <c r="A1891" s="274">
        <f>MATCH(B1891,STUDIES!$A$3:$A$502,0)</f>
        <v>57</v>
      </c>
      <c r="B1891" s="272" t="s">
        <v>1191</v>
      </c>
      <c r="C1891" s="435">
        <v>1</v>
      </c>
      <c r="D1891" s="281" t="s">
        <v>148</v>
      </c>
      <c r="E1891" s="272" t="s">
        <v>153</v>
      </c>
      <c r="F1891" s="155" t="s">
        <v>1642</v>
      </c>
      <c r="G1891" s="273" t="s">
        <v>147</v>
      </c>
      <c r="H1891" s="273">
        <v>16</v>
      </c>
      <c r="I1891" s="452">
        <v>28</v>
      </c>
      <c r="J1891" s="453"/>
      <c r="K1891" s="284"/>
      <c r="L1891" s="284"/>
      <c r="M1891" s="284"/>
      <c r="N1891" s="284"/>
      <c r="O1891" s="284"/>
      <c r="P1891" s="284"/>
      <c r="Q1891" s="454"/>
      <c r="R1891" s="455">
        <v>-3.8</v>
      </c>
      <c r="S1891" s="284"/>
      <c r="T1891" s="284"/>
      <c r="U1891" s="284">
        <v>-6.1</v>
      </c>
      <c r="V1891" s="284">
        <v>-1.4</v>
      </c>
      <c r="W1891" s="268">
        <v>0.95</v>
      </c>
    </row>
    <row r="1892" spans="1:23" ht="18" customHeight="1" x14ac:dyDescent="0.35">
      <c r="A1892" s="274">
        <f>MATCH(B1892,STUDIES!$A$3:$A$502,0)</f>
        <v>57</v>
      </c>
      <c r="B1892" s="272" t="s">
        <v>1191</v>
      </c>
      <c r="C1892" s="435">
        <v>1</v>
      </c>
      <c r="D1892" s="281" t="s">
        <v>1098</v>
      </c>
      <c r="E1892" s="272" t="s">
        <v>695</v>
      </c>
      <c r="F1892" s="155" t="s">
        <v>1642</v>
      </c>
      <c r="G1892" s="273" t="s">
        <v>147</v>
      </c>
      <c r="H1892" s="273">
        <v>16</v>
      </c>
      <c r="I1892" s="452">
        <v>49</v>
      </c>
      <c r="J1892" s="453"/>
      <c r="K1892" s="284"/>
      <c r="L1892" s="284"/>
      <c r="M1892" s="284"/>
      <c r="N1892" s="284"/>
      <c r="O1892" s="284"/>
      <c r="P1892" s="284"/>
      <c r="Q1892" s="454"/>
      <c r="R1892" s="455">
        <v>-4.3</v>
      </c>
      <c r="S1892" s="284"/>
      <c r="T1892" s="284"/>
      <c r="U1892" s="284">
        <v>-5</v>
      </c>
      <c r="V1892" s="284">
        <v>-3.6</v>
      </c>
      <c r="W1892" s="268">
        <v>0.95</v>
      </c>
    </row>
    <row r="1893" spans="1:23" ht="18" customHeight="1" x14ac:dyDescent="0.35">
      <c r="A1893" s="274">
        <f>MATCH(B1893,STUDIES!$A$3:$A$502,0)</f>
        <v>57</v>
      </c>
      <c r="B1893" s="272" t="s">
        <v>1191</v>
      </c>
      <c r="C1893" s="435">
        <v>1</v>
      </c>
      <c r="D1893" s="281" t="s">
        <v>1099</v>
      </c>
      <c r="E1893" s="272" t="s">
        <v>695</v>
      </c>
      <c r="F1893" s="155" t="s">
        <v>1642</v>
      </c>
      <c r="G1893" s="273" t="s">
        <v>147</v>
      </c>
      <c r="H1893" s="273">
        <v>16</v>
      </c>
      <c r="I1893" s="452">
        <v>51</v>
      </c>
      <c r="J1893" s="453"/>
      <c r="K1893" s="284"/>
      <c r="L1893" s="284"/>
      <c r="M1893" s="284"/>
      <c r="N1893" s="284"/>
      <c r="O1893" s="284"/>
      <c r="P1893" s="284"/>
      <c r="Q1893" s="454"/>
      <c r="R1893" s="455">
        <v>-5.0999999999999996</v>
      </c>
      <c r="S1893" s="284"/>
      <c r="T1893" s="284"/>
      <c r="U1893" s="284">
        <v>-5.8</v>
      </c>
      <c r="V1893" s="284">
        <v>-4.4000000000000004</v>
      </c>
      <c r="W1893" s="268">
        <v>0.95</v>
      </c>
    </row>
    <row r="1894" spans="1:23" ht="18" customHeight="1" x14ac:dyDescent="0.35">
      <c r="A1894" s="274">
        <f>MATCH(B1894,STUDIES!$A$3:$A$502,0)</f>
        <v>57</v>
      </c>
      <c r="B1894" s="272" t="s">
        <v>1191</v>
      </c>
      <c r="C1894" s="435">
        <v>1</v>
      </c>
      <c r="D1894" s="281" t="s">
        <v>148</v>
      </c>
      <c r="E1894" s="272" t="s">
        <v>695</v>
      </c>
      <c r="F1894" s="155" t="s">
        <v>1642</v>
      </c>
      <c r="G1894" s="273" t="s">
        <v>147</v>
      </c>
      <c r="H1894" s="273">
        <v>16</v>
      </c>
      <c r="I1894" s="452">
        <v>31</v>
      </c>
      <c r="J1894" s="453"/>
      <c r="K1894" s="284"/>
      <c r="L1894" s="284"/>
      <c r="M1894" s="284"/>
      <c r="N1894" s="284"/>
      <c r="O1894" s="284"/>
      <c r="P1894" s="284"/>
      <c r="Q1894" s="454"/>
      <c r="R1894" s="455">
        <v>-1.7</v>
      </c>
      <c r="S1894" s="284"/>
      <c r="T1894" s="284"/>
      <c r="U1894" s="284">
        <v>-2.5</v>
      </c>
      <c r="V1894" s="284">
        <v>-0.9</v>
      </c>
      <c r="W1894" s="268">
        <v>0.95</v>
      </c>
    </row>
    <row r="1895" spans="1:23" ht="18" customHeight="1" x14ac:dyDescent="0.35">
      <c r="A1895" s="274">
        <f>MATCH(B1895,STUDIES!$A$3:$A$502,0)</f>
        <v>57</v>
      </c>
      <c r="B1895" s="272" t="s">
        <v>1191</v>
      </c>
      <c r="C1895" s="435">
        <v>1</v>
      </c>
      <c r="D1895" s="281" t="s">
        <v>1098</v>
      </c>
      <c r="E1895" s="272" t="s">
        <v>154</v>
      </c>
      <c r="F1895" s="155" t="s">
        <v>1642</v>
      </c>
      <c r="G1895" s="273" t="s">
        <v>147</v>
      </c>
      <c r="H1895" s="273">
        <v>16</v>
      </c>
      <c r="I1895" s="452">
        <v>28</v>
      </c>
      <c r="J1895" s="453"/>
      <c r="K1895" s="284"/>
      <c r="L1895" s="284"/>
      <c r="M1895" s="284"/>
      <c r="N1895" s="284"/>
      <c r="O1895" s="284"/>
      <c r="P1895" s="284"/>
      <c r="Q1895" s="454"/>
      <c r="R1895" s="455">
        <v>-8.9</v>
      </c>
      <c r="S1895" s="284"/>
      <c r="T1895" s="284"/>
      <c r="U1895" s="284">
        <v>-11.3</v>
      </c>
      <c r="V1895" s="284">
        <v>-6.6</v>
      </c>
      <c r="W1895" s="268">
        <v>0.95</v>
      </c>
    </row>
    <row r="1896" spans="1:23" ht="18" customHeight="1" x14ac:dyDescent="0.35">
      <c r="A1896" s="274">
        <f>MATCH(B1896,STUDIES!$A$3:$A$502,0)</f>
        <v>57</v>
      </c>
      <c r="B1896" s="272" t="s">
        <v>1191</v>
      </c>
      <c r="C1896" s="435">
        <v>1</v>
      </c>
      <c r="D1896" s="281" t="s">
        <v>1099</v>
      </c>
      <c r="E1896" s="272" t="s">
        <v>154</v>
      </c>
      <c r="F1896" s="155" t="s">
        <v>1642</v>
      </c>
      <c r="G1896" s="273" t="s">
        <v>147</v>
      </c>
      <c r="H1896" s="273">
        <v>16</v>
      </c>
      <c r="I1896" s="452">
        <v>29</v>
      </c>
      <c r="J1896" s="453"/>
      <c r="K1896" s="284"/>
      <c r="L1896" s="284"/>
      <c r="M1896" s="284"/>
      <c r="N1896" s="284"/>
      <c r="O1896" s="284"/>
      <c r="P1896" s="284"/>
      <c r="Q1896" s="454"/>
      <c r="R1896" s="455">
        <v>-9.6999999999999993</v>
      </c>
      <c r="S1896" s="284"/>
      <c r="T1896" s="284"/>
      <c r="U1896" s="284">
        <v>-12</v>
      </c>
      <c r="V1896" s="284">
        <v>-7.4</v>
      </c>
      <c r="W1896" s="268">
        <v>0.95</v>
      </c>
    </row>
    <row r="1897" spans="1:23" ht="18" customHeight="1" x14ac:dyDescent="0.35">
      <c r="A1897" s="274">
        <f>MATCH(B1897,STUDIES!$A$3:$A$502,0)</f>
        <v>57</v>
      </c>
      <c r="B1897" s="272" t="s">
        <v>1191</v>
      </c>
      <c r="C1897" s="435">
        <v>1</v>
      </c>
      <c r="D1897" s="281" t="s">
        <v>148</v>
      </c>
      <c r="E1897" s="272" t="s">
        <v>154</v>
      </c>
      <c r="F1897" s="155" t="s">
        <v>1642</v>
      </c>
      <c r="G1897" s="273" t="s">
        <v>147</v>
      </c>
      <c r="H1897" s="273">
        <v>16</v>
      </c>
      <c r="I1897" s="452">
        <v>11</v>
      </c>
      <c r="J1897" s="453"/>
      <c r="K1897" s="284"/>
      <c r="L1897" s="284"/>
      <c r="M1897" s="284"/>
      <c r="N1897" s="284"/>
      <c r="O1897" s="284"/>
      <c r="P1897" s="284"/>
      <c r="Q1897" s="454"/>
      <c r="R1897" s="455">
        <v>-4.5999999999999996</v>
      </c>
      <c r="S1897" s="284"/>
      <c r="T1897" s="284"/>
      <c r="U1897" s="284">
        <v>-8.1999999999999993</v>
      </c>
      <c r="V1897" s="284">
        <v>-1</v>
      </c>
      <c r="W1897" s="268">
        <v>0.95</v>
      </c>
    </row>
    <row r="1898" spans="1:23" ht="18" customHeight="1" x14ac:dyDescent="0.35">
      <c r="A1898" s="274">
        <f>MATCH(B1898,STUDIES!$A$3:$A$502,0)</f>
        <v>57</v>
      </c>
      <c r="B1898" s="272" t="s">
        <v>1191</v>
      </c>
      <c r="C1898" s="435">
        <v>1</v>
      </c>
      <c r="D1898" s="281" t="s">
        <v>1098</v>
      </c>
      <c r="E1898" s="272" t="s">
        <v>694</v>
      </c>
      <c r="F1898" s="155" t="s">
        <v>1642</v>
      </c>
      <c r="G1898" s="273" t="s">
        <v>147</v>
      </c>
      <c r="H1898" s="273">
        <v>16</v>
      </c>
      <c r="I1898" s="452">
        <v>29</v>
      </c>
      <c r="J1898" s="453"/>
      <c r="K1898" s="284"/>
      <c r="L1898" s="284"/>
      <c r="M1898" s="284"/>
      <c r="N1898" s="284"/>
      <c r="O1898" s="284"/>
      <c r="P1898" s="284"/>
      <c r="Q1898" s="454"/>
      <c r="R1898" s="455">
        <v>-9.5</v>
      </c>
      <c r="S1898" s="284"/>
      <c r="T1898" s="284"/>
      <c r="U1898" s="284">
        <v>-11.1</v>
      </c>
      <c r="V1898" s="284">
        <v>-7.9</v>
      </c>
      <c r="W1898" s="268">
        <v>0.95</v>
      </c>
    </row>
    <row r="1899" spans="1:23" ht="18" customHeight="1" x14ac:dyDescent="0.35">
      <c r="A1899" s="274">
        <f>MATCH(B1899,STUDIES!$A$3:$A$502,0)</f>
        <v>57</v>
      </c>
      <c r="B1899" s="272" t="s">
        <v>1191</v>
      </c>
      <c r="C1899" s="435">
        <v>1</v>
      </c>
      <c r="D1899" s="281" t="s">
        <v>1099</v>
      </c>
      <c r="E1899" s="272" t="s">
        <v>694</v>
      </c>
      <c r="F1899" s="155" t="s">
        <v>1642</v>
      </c>
      <c r="G1899" s="273" t="s">
        <v>147</v>
      </c>
      <c r="H1899" s="273">
        <v>16</v>
      </c>
      <c r="I1899" s="452">
        <v>28</v>
      </c>
      <c r="J1899" s="453"/>
      <c r="K1899" s="284"/>
      <c r="L1899" s="284"/>
      <c r="M1899" s="284"/>
      <c r="N1899" s="284"/>
      <c r="O1899" s="284"/>
      <c r="P1899" s="284"/>
      <c r="Q1899" s="454"/>
      <c r="R1899" s="455">
        <v>-11.5</v>
      </c>
      <c r="S1899" s="284"/>
      <c r="T1899" s="284"/>
      <c r="U1899" s="284">
        <v>-13.2</v>
      </c>
      <c r="V1899" s="284">
        <v>-9.8000000000000007</v>
      </c>
      <c r="W1899" s="268">
        <v>0.95</v>
      </c>
    </row>
    <row r="1900" spans="1:23" ht="18" customHeight="1" x14ac:dyDescent="0.35">
      <c r="A1900" s="274">
        <f>MATCH(B1900,STUDIES!$A$3:$A$502,0)</f>
        <v>57</v>
      </c>
      <c r="B1900" s="272" t="s">
        <v>1191</v>
      </c>
      <c r="C1900" s="435">
        <v>1</v>
      </c>
      <c r="D1900" s="281" t="s">
        <v>148</v>
      </c>
      <c r="E1900" s="272" t="s">
        <v>694</v>
      </c>
      <c r="F1900" s="155" t="s">
        <v>1642</v>
      </c>
      <c r="G1900" s="273" t="s">
        <v>147</v>
      </c>
      <c r="H1900" s="273">
        <v>16</v>
      </c>
      <c r="I1900" s="452">
        <v>18</v>
      </c>
      <c r="J1900" s="453"/>
      <c r="K1900" s="284"/>
      <c r="L1900" s="284"/>
      <c r="M1900" s="284"/>
      <c r="N1900" s="284"/>
      <c r="O1900" s="284"/>
      <c r="P1900" s="284"/>
      <c r="Q1900" s="454"/>
      <c r="R1900" s="455">
        <v>-4.5999999999999996</v>
      </c>
      <c r="S1900" s="284"/>
      <c r="T1900" s="284"/>
      <c r="U1900" s="284">
        <v>-6.5</v>
      </c>
      <c r="V1900" s="284">
        <v>-2.7</v>
      </c>
      <c r="W1900" s="268">
        <v>0.95</v>
      </c>
    </row>
    <row r="1901" spans="1:23" ht="18" customHeight="1" x14ac:dyDescent="0.35">
      <c r="A1901" s="274">
        <f>MATCH(B1901,STUDIES!$A$3:$A$502,0)</f>
        <v>57</v>
      </c>
      <c r="B1901" s="272" t="s">
        <v>1191</v>
      </c>
      <c r="C1901" s="435">
        <v>1</v>
      </c>
      <c r="D1901" s="281" t="s">
        <v>1098</v>
      </c>
      <c r="E1901" s="272" t="s">
        <v>1243</v>
      </c>
      <c r="F1901" s="155" t="s">
        <v>1642</v>
      </c>
      <c r="G1901" s="273" t="s">
        <v>147</v>
      </c>
      <c r="H1901" s="273">
        <v>16</v>
      </c>
      <c r="I1901" s="452">
        <v>63</v>
      </c>
      <c r="J1901" s="453">
        <v>47</v>
      </c>
    </row>
    <row r="1902" spans="1:23" ht="18" customHeight="1" x14ac:dyDescent="0.35">
      <c r="A1902" s="274">
        <f>MATCH(B1902,STUDIES!$A$3:$A$502,0)</f>
        <v>57</v>
      </c>
      <c r="B1902" s="272" t="s">
        <v>1191</v>
      </c>
      <c r="C1902" s="435">
        <v>1</v>
      </c>
      <c r="D1902" s="281" t="s">
        <v>1099</v>
      </c>
      <c r="E1902" s="272" t="s">
        <v>1243</v>
      </c>
      <c r="F1902" s="155" t="s">
        <v>1642</v>
      </c>
      <c r="G1902" s="273" t="s">
        <v>147</v>
      </c>
      <c r="H1902" s="273">
        <v>16</v>
      </c>
      <c r="I1902" s="452">
        <v>58</v>
      </c>
      <c r="J1902" s="453">
        <v>49</v>
      </c>
    </row>
    <row r="1903" spans="1:23" ht="18" customHeight="1" x14ac:dyDescent="0.35">
      <c r="A1903" s="274">
        <f>MATCH(B1903,STUDIES!$A$3:$A$502,0)</f>
        <v>57</v>
      </c>
      <c r="B1903" s="272" t="s">
        <v>1191</v>
      </c>
      <c r="C1903" s="435">
        <v>1</v>
      </c>
      <c r="D1903" s="281" t="s">
        <v>148</v>
      </c>
      <c r="E1903" s="272" t="s">
        <v>1243</v>
      </c>
      <c r="F1903" s="155" t="s">
        <v>1642</v>
      </c>
      <c r="G1903" s="273" t="s">
        <v>147</v>
      </c>
      <c r="H1903" s="273">
        <v>16</v>
      </c>
      <c r="I1903" s="452">
        <v>58</v>
      </c>
      <c r="J1903" s="453">
        <v>7</v>
      </c>
    </row>
    <row r="1904" spans="1:23" ht="18" customHeight="1" x14ac:dyDescent="0.35">
      <c r="A1904" s="274">
        <f>MATCH(B1904,STUDIES!$A$3:$A$502,0)</f>
        <v>57</v>
      </c>
      <c r="B1904" s="272" t="s">
        <v>1191</v>
      </c>
      <c r="C1904" s="435">
        <v>1</v>
      </c>
      <c r="D1904" s="281" t="s">
        <v>1098</v>
      </c>
      <c r="E1904" s="272" t="s">
        <v>1244</v>
      </c>
      <c r="F1904" s="155" t="s">
        <v>1642</v>
      </c>
      <c r="G1904" s="273" t="s">
        <v>147</v>
      </c>
      <c r="H1904" s="273">
        <v>16</v>
      </c>
      <c r="I1904" s="452">
        <v>63</v>
      </c>
      <c r="J1904" s="453">
        <v>30</v>
      </c>
    </row>
    <row r="1905" spans="1:23" ht="18" customHeight="1" x14ac:dyDescent="0.35">
      <c r="A1905" s="274">
        <f>MATCH(B1905,STUDIES!$A$3:$A$502,0)</f>
        <v>57</v>
      </c>
      <c r="B1905" s="272" t="s">
        <v>1191</v>
      </c>
      <c r="C1905" s="435">
        <v>1</v>
      </c>
      <c r="D1905" s="281" t="s">
        <v>1099</v>
      </c>
      <c r="E1905" s="272" t="s">
        <v>1244</v>
      </c>
      <c r="F1905" s="155" t="s">
        <v>1642</v>
      </c>
      <c r="G1905" s="273" t="s">
        <v>147</v>
      </c>
      <c r="H1905" s="273">
        <v>16</v>
      </c>
      <c r="I1905" s="452">
        <v>58</v>
      </c>
      <c r="J1905" s="453">
        <v>43</v>
      </c>
    </row>
    <row r="1906" spans="1:23" ht="18" customHeight="1" x14ac:dyDescent="0.35">
      <c r="A1906" s="274">
        <f>MATCH(B1906,STUDIES!$A$3:$A$502,0)</f>
        <v>57</v>
      </c>
      <c r="B1906" s="272" t="s">
        <v>1191</v>
      </c>
      <c r="C1906" s="435">
        <v>1</v>
      </c>
      <c r="D1906" s="281" t="s">
        <v>148</v>
      </c>
      <c r="E1906" s="272" t="s">
        <v>1244</v>
      </c>
      <c r="F1906" s="155" t="s">
        <v>1642</v>
      </c>
      <c r="G1906" s="273" t="s">
        <v>147</v>
      </c>
      <c r="H1906" s="273">
        <v>16</v>
      </c>
      <c r="I1906" s="452">
        <v>58</v>
      </c>
      <c r="J1906" s="453">
        <v>2</v>
      </c>
    </row>
    <row r="1907" spans="1:23" ht="18" customHeight="1" x14ac:dyDescent="0.35">
      <c r="A1907" s="274">
        <f>MATCH(B1907,STUDIES!$A$3:$A$502,0)</f>
        <v>57</v>
      </c>
      <c r="B1907" s="272" t="s">
        <v>1191</v>
      </c>
      <c r="C1907" s="435">
        <v>1</v>
      </c>
      <c r="D1907" s="281" t="s">
        <v>1098</v>
      </c>
      <c r="E1907" s="272" t="s">
        <v>1268</v>
      </c>
      <c r="F1907" s="155" t="s">
        <v>1642</v>
      </c>
      <c r="G1907" s="273" t="s">
        <v>147</v>
      </c>
      <c r="H1907" s="273">
        <v>16</v>
      </c>
      <c r="I1907" s="452">
        <v>63</v>
      </c>
      <c r="J1907" s="453">
        <v>29</v>
      </c>
    </row>
    <row r="1908" spans="1:23" ht="18" customHeight="1" x14ac:dyDescent="0.35">
      <c r="A1908" s="274">
        <f>MATCH(B1908,STUDIES!$A$3:$A$502,0)</f>
        <v>57</v>
      </c>
      <c r="B1908" s="272" t="s">
        <v>1191</v>
      </c>
      <c r="C1908" s="435">
        <v>1</v>
      </c>
      <c r="D1908" s="281" t="s">
        <v>1099</v>
      </c>
      <c r="E1908" s="272" t="s">
        <v>1268</v>
      </c>
      <c r="F1908" s="155" t="s">
        <v>1642</v>
      </c>
      <c r="G1908" s="273" t="s">
        <v>147</v>
      </c>
      <c r="H1908" s="273">
        <v>16</v>
      </c>
      <c r="I1908" s="452">
        <v>58</v>
      </c>
      <c r="J1908" s="453">
        <v>41</v>
      </c>
    </row>
    <row r="1909" spans="1:23" ht="18" customHeight="1" x14ac:dyDescent="0.35">
      <c r="A1909" s="274">
        <f>MATCH(B1909,STUDIES!$A$3:$A$502,0)</f>
        <v>57</v>
      </c>
      <c r="B1909" s="272" t="s">
        <v>1191</v>
      </c>
      <c r="C1909" s="435">
        <v>1</v>
      </c>
      <c r="D1909" s="281" t="s">
        <v>148</v>
      </c>
      <c r="E1909" s="272" t="s">
        <v>1268</v>
      </c>
      <c r="F1909" s="155" t="s">
        <v>1642</v>
      </c>
      <c r="G1909" s="273" t="s">
        <v>147</v>
      </c>
      <c r="H1909" s="273">
        <v>16</v>
      </c>
      <c r="I1909" s="452">
        <v>58</v>
      </c>
      <c r="J1909" s="453">
        <v>4</v>
      </c>
    </row>
    <row r="1910" spans="1:23" ht="18" customHeight="1" x14ac:dyDescent="0.35">
      <c r="A1910" s="274">
        <f>MATCH(B1910,STUDIES!$A$3:$A$502,0)</f>
        <v>57</v>
      </c>
      <c r="B1910" s="272" t="s">
        <v>1191</v>
      </c>
      <c r="C1910" s="435">
        <v>1</v>
      </c>
      <c r="D1910" s="281" t="s">
        <v>1098</v>
      </c>
      <c r="E1910" s="272" t="s">
        <v>1163</v>
      </c>
      <c r="F1910" s="155" t="s">
        <v>1642</v>
      </c>
      <c r="G1910" s="273" t="s">
        <v>147</v>
      </c>
      <c r="H1910" s="273">
        <v>16</v>
      </c>
      <c r="I1910" s="452">
        <v>63</v>
      </c>
      <c r="J1910" s="453">
        <v>1</v>
      </c>
    </row>
    <row r="1911" spans="1:23" ht="18" customHeight="1" x14ac:dyDescent="0.35">
      <c r="A1911" s="274">
        <f>MATCH(B1911,STUDIES!$A$3:$A$502,0)</f>
        <v>57</v>
      </c>
      <c r="B1911" s="272" t="s">
        <v>1191</v>
      </c>
      <c r="C1911" s="435">
        <v>1</v>
      </c>
      <c r="D1911" s="281" t="s">
        <v>1099</v>
      </c>
      <c r="E1911" s="272" t="s">
        <v>1163</v>
      </c>
      <c r="F1911" s="155" t="s">
        <v>1642</v>
      </c>
      <c r="G1911" s="273" t="s">
        <v>147</v>
      </c>
      <c r="H1911" s="273">
        <v>16</v>
      </c>
      <c r="I1911" s="452">
        <v>58</v>
      </c>
      <c r="J1911" s="453">
        <v>0</v>
      </c>
    </row>
    <row r="1912" spans="1:23" ht="18" customHeight="1" x14ac:dyDescent="0.35">
      <c r="A1912" s="274">
        <f>MATCH(B1912,STUDIES!$A$3:$A$502,0)</f>
        <v>57</v>
      </c>
      <c r="B1912" s="272" t="s">
        <v>1191</v>
      </c>
      <c r="C1912" s="435">
        <v>1</v>
      </c>
      <c r="D1912" s="281" t="s">
        <v>148</v>
      </c>
      <c r="E1912" s="272" t="s">
        <v>1163</v>
      </c>
      <c r="F1912" s="155" t="s">
        <v>1642</v>
      </c>
      <c r="G1912" s="273" t="s">
        <v>147</v>
      </c>
      <c r="H1912" s="273">
        <v>16</v>
      </c>
      <c r="I1912" s="452">
        <v>58</v>
      </c>
      <c r="J1912" s="453">
        <v>1</v>
      </c>
    </row>
    <row r="1913" spans="1:23" ht="18" customHeight="1" x14ac:dyDescent="0.35">
      <c r="A1913" s="274">
        <f>MATCH(B1913,STUDIES!$A$3:$A$502,0)</f>
        <v>57</v>
      </c>
      <c r="B1913" s="272" t="s">
        <v>1191</v>
      </c>
      <c r="C1913" s="435">
        <v>1</v>
      </c>
      <c r="D1913" s="281" t="s">
        <v>1098</v>
      </c>
      <c r="E1913" s="272" t="s">
        <v>1167</v>
      </c>
      <c r="F1913" s="155" t="s">
        <v>1642</v>
      </c>
      <c r="G1913" s="273" t="s">
        <v>147</v>
      </c>
      <c r="H1913" s="273">
        <v>16</v>
      </c>
      <c r="I1913" s="452">
        <v>63</v>
      </c>
      <c r="J1913" s="453">
        <v>0</v>
      </c>
    </row>
    <row r="1914" spans="1:23" ht="18" customHeight="1" x14ac:dyDescent="0.35">
      <c r="A1914" s="274">
        <f>MATCH(B1914,STUDIES!$A$3:$A$502,0)</f>
        <v>57</v>
      </c>
      <c r="B1914" s="272" t="s">
        <v>1191</v>
      </c>
      <c r="C1914" s="435">
        <v>1</v>
      </c>
      <c r="D1914" s="281" t="s">
        <v>1099</v>
      </c>
      <c r="E1914" s="272" t="s">
        <v>1167</v>
      </c>
      <c r="F1914" s="155" t="s">
        <v>1642</v>
      </c>
      <c r="G1914" s="273" t="s">
        <v>147</v>
      </c>
      <c r="H1914" s="273">
        <v>16</v>
      </c>
      <c r="I1914" s="452">
        <v>58</v>
      </c>
      <c r="J1914" s="453">
        <v>1</v>
      </c>
    </row>
    <row r="1915" spans="1:23" ht="18" customHeight="1" x14ac:dyDescent="0.35">
      <c r="A1915" s="274">
        <f>MATCH(B1915,STUDIES!$A$3:$A$502,0)</f>
        <v>57</v>
      </c>
      <c r="B1915" s="272" t="s">
        <v>1191</v>
      </c>
      <c r="C1915" s="435">
        <v>1</v>
      </c>
      <c r="D1915" s="281" t="s">
        <v>148</v>
      </c>
      <c r="E1915" s="272" t="s">
        <v>1167</v>
      </c>
      <c r="F1915" s="155" t="s">
        <v>1642</v>
      </c>
      <c r="G1915" s="273" t="s">
        <v>147</v>
      </c>
      <c r="H1915" s="273">
        <v>16</v>
      </c>
      <c r="I1915" s="452">
        <v>58</v>
      </c>
      <c r="J1915" s="453">
        <v>1</v>
      </c>
    </row>
    <row r="1916" spans="1:23" ht="18" customHeight="1" x14ac:dyDescent="0.35">
      <c r="A1916" s="274">
        <f>MATCH(B1916,STUDIES!$A$3:$A$502,0)</f>
        <v>58</v>
      </c>
      <c r="B1916" s="272" t="s">
        <v>1192</v>
      </c>
      <c r="C1916" s="435">
        <v>1</v>
      </c>
      <c r="D1916" s="281" t="s">
        <v>1098</v>
      </c>
      <c r="E1916" s="272" t="s">
        <v>151</v>
      </c>
      <c r="F1916" s="155" t="s">
        <v>1642</v>
      </c>
      <c r="G1916" s="273" t="s">
        <v>147</v>
      </c>
      <c r="H1916" s="273">
        <v>16</v>
      </c>
      <c r="I1916" s="273">
        <v>53</v>
      </c>
      <c r="R1916" s="283">
        <v>-22.7</v>
      </c>
      <c r="U1916" s="268">
        <v>-25.2</v>
      </c>
      <c r="V1916" s="268">
        <v>-20.100000000000001</v>
      </c>
      <c r="W1916" s="268">
        <v>0.95</v>
      </c>
    </row>
    <row r="1917" spans="1:23" ht="18" customHeight="1" x14ac:dyDescent="0.35">
      <c r="A1917" s="274">
        <f>MATCH(B1917,STUDIES!$A$3:$A$502,0)</f>
        <v>58</v>
      </c>
      <c r="B1917" s="272" t="s">
        <v>1192</v>
      </c>
      <c r="C1917" s="435">
        <v>1</v>
      </c>
      <c r="D1917" s="281" t="s">
        <v>1099</v>
      </c>
      <c r="E1917" s="272" t="s">
        <v>151</v>
      </c>
      <c r="F1917" s="155" t="s">
        <v>1642</v>
      </c>
      <c r="G1917" s="273" t="s">
        <v>147</v>
      </c>
      <c r="H1917" s="273">
        <v>16</v>
      </c>
      <c r="I1917" s="273">
        <v>52</v>
      </c>
      <c r="R1917" s="283">
        <v>-25</v>
      </c>
      <c r="U1917" s="268">
        <v>-27.6</v>
      </c>
      <c r="V1917" s="268">
        <v>-22.5</v>
      </c>
      <c r="W1917" s="268">
        <v>0.95</v>
      </c>
    </row>
    <row r="1918" spans="1:23" ht="18" customHeight="1" x14ac:dyDescent="0.35">
      <c r="A1918" s="274">
        <f>MATCH(B1918,STUDIES!$A$3:$A$502,0)</f>
        <v>58</v>
      </c>
      <c r="B1918" s="272" t="s">
        <v>1192</v>
      </c>
      <c r="C1918" s="435">
        <v>1</v>
      </c>
      <c r="D1918" s="281" t="s">
        <v>148</v>
      </c>
      <c r="E1918" s="272" t="s">
        <v>151</v>
      </c>
      <c r="F1918" s="155" t="s">
        <v>1642</v>
      </c>
      <c r="G1918" s="273" t="s">
        <v>147</v>
      </c>
      <c r="H1918" s="273">
        <v>16</v>
      </c>
      <c r="I1918" s="273">
        <v>31</v>
      </c>
      <c r="R1918" s="283">
        <v>-11.6</v>
      </c>
      <c r="U1918" s="268">
        <v>-14.6</v>
      </c>
      <c r="V1918" s="268">
        <v>-8.5</v>
      </c>
      <c r="W1918" s="268">
        <v>0.95</v>
      </c>
    </row>
    <row r="1919" spans="1:23" ht="18" customHeight="1" x14ac:dyDescent="0.35">
      <c r="A1919" s="274">
        <f>MATCH(B1919,STUDIES!$A$3:$A$502,0)</f>
        <v>58</v>
      </c>
      <c r="B1919" s="272" t="s">
        <v>1192</v>
      </c>
      <c r="C1919" s="435">
        <v>1</v>
      </c>
      <c r="D1919" s="281" t="s">
        <v>1098</v>
      </c>
      <c r="E1919" s="272" t="s">
        <v>153</v>
      </c>
      <c r="F1919" s="155" t="s">
        <v>1642</v>
      </c>
      <c r="G1919" s="273" t="s">
        <v>147</v>
      </c>
      <c r="H1919" s="273">
        <v>16</v>
      </c>
      <c r="I1919" s="273">
        <v>51</v>
      </c>
      <c r="R1919" s="283">
        <v>-9</v>
      </c>
      <c r="U1919" s="268">
        <v>-11</v>
      </c>
      <c r="V1919" s="268">
        <v>-7</v>
      </c>
      <c r="W1919" s="268">
        <v>0.95</v>
      </c>
    </row>
    <row r="1920" spans="1:23" ht="18" customHeight="1" x14ac:dyDescent="0.35">
      <c r="A1920" s="274">
        <f>MATCH(B1920,STUDIES!$A$3:$A$502,0)</f>
        <v>58</v>
      </c>
      <c r="B1920" s="272" t="s">
        <v>1192</v>
      </c>
      <c r="C1920" s="435">
        <v>1</v>
      </c>
      <c r="D1920" s="281" t="s">
        <v>1099</v>
      </c>
      <c r="E1920" s="272" t="s">
        <v>153</v>
      </c>
      <c r="F1920" s="155" t="s">
        <v>1642</v>
      </c>
      <c r="G1920" s="273" t="s">
        <v>147</v>
      </c>
      <c r="H1920" s="273">
        <v>16</v>
      </c>
      <c r="I1920" s="273">
        <v>50</v>
      </c>
      <c r="R1920" s="283">
        <v>-13.6</v>
      </c>
      <c r="U1920" s="268">
        <v>-15.6</v>
      </c>
      <c r="V1920" s="268">
        <v>-11.6</v>
      </c>
      <c r="W1920" s="268">
        <v>0.95</v>
      </c>
    </row>
    <row r="1921" spans="1:23" ht="18" customHeight="1" x14ac:dyDescent="0.35">
      <c r="A1921" s="274">
        <f>MATCH(B1921,STUDIES!$A$3:$A$502,0)</f>
        <v>58</v>
      </c>
      <c r="B1921" s="272" t="s">
        <v>1192</v>
      </c>
      <c r="C1921" s="435">
        <v>1</v>
      </c>
      <c r="D1921" s="281" t="s">
        <v>148</v>
      </c>
      <c r="E1921" s="272" t="s">
        <v>153</v>
      </c>
      <c r="F1921" s="155" t="s">
        <v>1642</v>
      </c>
      <c r="G1921" s="273" t="s">
        <v>147</v>
      </c>
      <c r="H1921" s="273">
        <v>16</v>
      </c>
      <c r="I1921" s="273">
        <v>30</v>
      </c>
      <c r="R1921" s="283">
        <v>-3.7</v>
      </c>
      <c r="U1921" s="268">
        <v>-6.2</v>
      </c>
      <c r="V1921" s="268">
        <v>-1.2</v>
      </c>
      <c r="W1921" s="268">
        <v>0.95</v>
      </c>
    </row>
    <row r="1922" spans="1:23" ht="18" customHeight="1" x14ac:dyDescent="0.35">
      <c r="A1922" s="274">
        <f>MATCH(B1922,STUDIES!$A$3:$A$502,0)</f>
        <v>58</v>
      </c>
      <c r="B1922" s="272" t="s">
        <v>1192</v>
      </c>
      <c r="C1922" s="435">
        <v>1</v>
      </c>
      <c r="D1922" s="281" t="s">
        <v>1098</v>
      </c>
      <c r="E1922" s="272" t="s">
        <v>695</v>
      </c>
      <c r="F1922" s="155" t="s">
        <v>1642</v>
      </c>
      <c r="G1922" s="273" t="s">
        <v>147</v>
      </c>
      <c r="H1922" s="273">
        <v>16</v>
      </c>
      <c r="I1922" s="273">
        <v>49</v>
      </c>
      <c r="R1922" s="283">
        <v>-3.5</v>
      </c>
      <c r="U1922" s="268">
        <v>-4.0999999999999996</v>
      </c>
      <c r="V1922" s="268">
        <v>-2.9</v>
      </c>
      <c r="W1922" s="268">
        <v>0.95</v>
      </c>
    </row>
    <row r="1923" spans="1:23" ht="18" customHeight="1" x14ac:dyDescent="0.35">
      <c r="A1923" s="274">
        <f>MATCH(B1923,STUDIES!$A$3:$A$502,0)</f>
        <v>58</v>
      </c>
      <c r="B1923" s="272" t="s">
        <v>1192</v>
      </c>
      <c r="C1923" s="435">
        <v>1</v>
      </c>
      <c r="D1923" s="281" t="s">
        <v>1099</v>
      </c>
      <c r="E1923" s="272" t="s">
        <v>695</v>
      </c>
      <c r="F1923" s="155" t="s">
        <v>1642</v>
      </c>
      <c r="G1923" s="273" t="s">
        <v>147</v>
      </c>
      <c r="H1923" s="273">
        <v>16</v>
      </c>
      <c r="I1923" s="273">
        <v>55</v>
      </c>
      <c r="R1923" s="283">
        <v>-4.5999999999999996</v>
      </c>
      <c r="U1923" s="268">
        <v>-5.2</v>
      </c>
      <c r="V1923" s="268">
        <v>-4</v>
      </c>
      <c r="W1923" s="268">
        <v>0.95</v>
      </c>
    </row>
    <row r="1924" spans="1:23" ht="18" customHeight="1" x14ac:dyDescent="0.35">
      <c r="A1924" s="274">
        <f>MATCH(B1924,STUDIES!$A$3:$A$502,0)</f>
        <v>58</v>
      </c>
      <c r="B1924" s="272" t="s">
        <v>1192</v>
      </c>
      <c r="C1924" s="435">
        <v>1</v>
      </c>
      <c r="D1924" s="281" t="s">
        <v>148</v>
      </c>
      <c r="E1924" s="272" t="s">
        <v>695</v>
      </c>
      <c r="F1924" s="155" t="s">
        <v>1642</v>
      </c>
      <c r="G1924" s="273" t="s">
        <v>147</v>
      </c>
      <c r="H1924" s="273">
        <v>16</v>
      </c>
      <c r="I1924" s="273">
        <v>27</v>
      </c>
      <c r="R1924" s="283">
        <v>-0.9</v>
      </c>
      <c r="U1924" s="268">
        <v>-1.6</v>
      </c>
      <c r="V1924" s="268">
        <v>-0.1</v>
      </c>
      <c r="W1924" s="268">
        <v>0.95</v>
      </c>
    </row>
    <row r="1925" spans="1:23" ht="18" customHeight="1" x14ac:dyDescent="0.35">
      <c r="A1925" s="274">
        <f>MATCH(B1925,STUDIES!$A$3:$A$502,0)</f>
        <v>58</v>
      </c>
      <c r="B1925" s="272" t="s">
        <v>1192</v>
      </c>
      <c r="C1925" s="435">
        <v>1</v>
      </c>
      <c r="D1925" s="281" t="s">
        <v>1098</v>
      </c>
      <c r="E1925" s="272" t="s">
        <v>154</v>
      </c>
      <c r="F1925" s="155" t="s">
        <v>1642</v>
      </c>
      <c r="G1925" s="273" t="s">
        <v>147</v>
      </c>
      <c r="H1925" s="273">
        <v>16</v>
      </c>
      <c r="I1925" s="273">
        <v>21</v>
      </c>
      <c r="R1925" s="283">
        <v>-7.5</v>
      </c>
      <c r="U1925" s="268">
        <v>-10</v>
      </c>
      <c r="V1925" s="268">
        <v>-5</v>
      </c>
      <c r="W1925" s="268">
        <v>0.95</v>
      </c>
    </row>
    <row r="1926" spans="1:23" ht="18" customHeight="1" x14ac:dyDescent="0.35">
      <c r="A1926" s="274">
        <f>MATCH(B1926,STUDIES!$A$3:$A$502,0)</f>
        <v>58</v>
      </c>
      <c r="B1926" s="272" t="s">
        <v>1192</v>
      </c>
      <c r="C1926" s="435">
        <v>1</v>
      </c>
      <c r="D1926" s="281" t="s">
        <v>1099</v>
      </c>
      <c r="E1926" s="272" t="s">
        <v>154</v>
      </c>
      <c r="F1926" s="155" t="s">
        <v>1642</v>
      </c>
      <c r="G1926" s="273" t="s">
        <v>147</v>
      </c>
      <c r="H1926" s="273">
        <v>16</v>
      </c>
      <c r="I1926" s="273">
        <v>28</v>
      </c>
      <c r="R1926" s="283">
        <v>-9.8000000000000007</v>
      </c>
      <c r="U1926" s="268">
        <v>-11.9</v>
      </c>
      <c r="V1926" s="268">
        <v>-7.7</v>
      </c>
      <c r="W1926" s="268">
        <v>0.95</v>
      </c>
    </row>
    <row r="1927" spans="1:23" ht="18" customHeight="1" x14ac:dyDescent="0.35">
      <c r="A1927" s="274">
        <f>MATCH(B1927,STUDIES!$A$3:$A$502,0)</f>
        <v>58</v>
      </c>
      <c r="B1927" s="272" t="s">
        <v>1192</v>
      </c>
      <c r="C1927" s="435">
        <v>1</v>
      </c>
      <c r="D1927" s="281" t="s">
        <v>148</v>
      </c>
      <c r="E1927" s="272" t="s">
        <v>154</v>
      </c>
      <c r="F1927" s="155" t="s">
        <v>1642</v>
      </c>
      <c r="G1927" s="273" t="s">
        <v>147</v>
      </c>
      <c r="H1927" s="273">
        <v>16</v>
      </c>
      <c r="I1927" s="273">
        <v>11</v>
      </c>
      <c r="R1927" s="283">
        <v>-3.7</v>
      </c>
      <c r="U1927" s="268">
        <v>-6.9</v>
      </c>
      <c r="V1927" s="268">
        <v>-0.5</v>
      </c>
      <c r="W1927" s="268">
        <v>0.95</v>
      </c>
    </row>
    <row r="1928" spans="1:23" ht="18" customHeight="1" x14ac:dyDescent="0.35">
      <c r="A1928" s="274">
        <f>MATCH(B1928,STUDIES!$A$3:$A$502,0)</f>
        <v>58</v>
      </c>
      <c r="B1928" s="272" t="s">
        <v>1192</v>
      </c>
      <c r="C1928" s="435">
        <v>1</v>
      </c>
      <c r="D1928" s="281" t="s">
        <v>1098</v>
      </c>
      <c r="E1928" s="272" t="s">
        <v>694</v>
      </c>
      <c r="F1928" s="155" t="s">
        <v>1642</v>
      </c>
      <c r="G1928" s="273" t="s">
        <v>147</v>
      </c>
      <c r="H1928" s="273">
        <v>16</v>
      </c>
      <c r="I1928" s="273">
        <v>32</v>
      </c>
      <c r="R1928" s="283">
        <v>-8.3000000000000007</v>
      </c>
      <c r="U1928" s="268">
        <v>-10.199999999999999</v>
      </c>
      <c r="V1928" s="268">
        <v>-6.4</v>
      </c>
      <c r="W1928" s="268">
        <v>0.95</v>
      </c>
    </row>
    <row r="1929" spans="1:23" ht="18" customHeight="1" x14ac:dyDescent="0.35">
      <c r="A1929" s="274">
        <f>MATCH(B1929,STUDIES!$A$3:$A$502,0)</f>
        <v>58</v>
      </c>
      <c r="B1929" s="272" t="s">
        <v>1192</v>
      </c>
      <c r="C1929" s="435">
        <v>1</v>
      </c>
      <c r="D1929" s="281" t="s">
        <v>1099</v>
      </c>
      <c r="E1929" s="272" t="s">
        <v>694</v>
      </c>
      <c r="F1929" s="155" t="s">
        <v>1642</v>
      </c>
      <c r="G1929" s="273" t="s">
        <v>147</v>
      </c>
      <c r="H1929" s="273">
        <v>16</v>
      </c>
      <c r="I1929" s="273">
        <v>22</v>
      </c>
      <c r="R1929" s="283">
        <v>-9.5</v>
      </c>
      <c r="U1929" s="268">
        <v>-11.9</v>
      </c>
      <c r="V1929" s="268">
        <v>-7.2</v>
      </c>
      <c r="W1929" s="268">
        <v>0.95</v>
      </c>
    </row>
    <row r="1930" spans="1:23" ht="18" customHeight="1" x14ac:dyDescent="0.35">
      <c r="A1930" s="274">
        <f>MATCH(B1930,STUDIES!$A$3:$A$502,0)</f>
        <v>58</v>
      </c>
      <c r="B1930" s="272" t="s">
        <v>1192</v>
      </c>
      <c r="C1930" s="435">
        <v>1</v>
      </c>
      <c r="D1930" s="281" t="s">
        <v>148</v>
      </c>
      <c r="E1930" s="272" t="s">
        <v>694</v>
      </c>
      <c r="F1930" s="155" t="s">
        <v>1642</v>
      </c>
      <c r="G1930" s="273" t="s">
        <v>147</v>
      </c>
      <c r="H1930" s="273">
        <v>16</v>
      </c>
      <c r="I1930" s="273">
        <v>20</v>
      </c>
      <c r="R1930" s="283">
        <v>-3.6</v>
      </c>
      <c r="U1930" s="268">
        <v>-6</v>
      </c>
      <c r="V1930" s="268">
        <v>-1.2</v>
      </c>
      <c r="W1930" s="268">
        <v>0.95</v>
      </c>
    </row>
    <row r="1931" spans="1:23" ht="18" customHeight="1" x14ac:dyDescent="0.35">
      <c r="A1931" s="274">
        <f>MATCH(B1931,STUDIES!$A$3:$A$502,0)</f>
        <v>58</v>
      </c>
      <c r="B1931" s="272" t="s">
        <v>1192</v>
      </c>
      <c r="C1931" s="435">
        <v>1</v>
      </c>
      <c r="D1931" s="281" t="s">
        <v>1098</v>
      </c>
      <c r="E1931" s="272" t="s">
        <v>1243</v>
      </c>
      <c r="F1931" s="155" t="s">
        <v>1642</v>
      </c>
      <c r="G1931" s="273" t="s">
        <v>147</v>
      </c>
      <c r="H1931" s="273">
        <v>16</v>
      </c>
      <c r="I1931" s="273">
        <v>58</v>
      </c>
      <c r="J1931" s="274">
        <v>40</v>
      </c>
    </row>
    <row r="1932" spans="1:23" ht="18" customHeight="1" x14ac:dyDescent="0.35">
      <c r="A1932" s="274">
        <f>MATCH(B1932,STUDIES!$A$3:$A$502,0)</f>
        <v>58</v>
      </c>
      <c r="B1932" s="272" t="s">
        <v>1192</v>
      </c>
      <c r="C1932" s="435">
        <v>1</v>
      </c>
      <c r="D1932" s="281" t="s">
        <v>1099</v>
      </c>
      <c r="E1932" s="272" t="s">
        <v>1243</v>
      </c>
      <c r="F1932" s="155" t="s">
        <v>1642</v>
      </c>
      <c r="G1932" s="273" t="s">
        <v>147</v>
      </c>
      <c r="H1932" s="273">
        <v>16</v>
      </c>
      <c r="I1932" s="273">
        <v>62</v>
      </c>
      <c r="J1932" s="274">
        <v>46</v>
      </c>
    </row>
    <row r="1933" spans="1:23" ht="18" customHeight="1" x14ac:dyDescent="0.35">
      <c r="A1933" s="274">
        <f>MATCH(B1933,STUDIES!$A$3:$A$502,0)</f>
        <v>58</v>
      </c>
      <c r="B1933" s="272" t="s">
        <v>1192</v>
      </c>
      <c r="C1933" s="435">
        <v>1</v>
      </c>
      <c r="D1933" s="281" t="s">
        <v>148</v>
      </c>
      <c r="E1933" s="272" t="s">
        <v>1243</v>
      </c>
      <c r="F1933" s="155" t="s">
        <v>1642</v>
      </c>
      <c r="G1933" s="273" t="s">
        <v>147</v>
      </c>
      <c r="H1933" s="273">
        <v>16</v>
      </c>
      <c r="I1933" s="273">
        <v>60</v>
      </c>
      <c r="J1933" s="274">
        <v>8</v>
      </c>
    </row>
    <row r="1934" spans="1:23" ht="18" customHeight="1" x14ac:dyDescent="0.35">
      <c r="A1934" s="274">
        <f>MATCH(B1934,STUDIES!$A$3:$A$502,0)</f>
        <v>58</v>
      </c>
      <c r="B1934" s="272" t="s">
        <v>1192</v>
      </c>
      <c r="C1934" s="435">
        <v>1</v>
      </c>
      <c r="D1934" s="281" t="s">
        <v>1098</v>
      </c>
      <c r="E1934" s="272" t="s">
        <v>1244</v>
      </c>
      <c r="F1934" s="155" t="s">
        <v>1642</v>
      </c>
      <c r="G1934" s="273" t="s">
        <v>147</v>
      </c>
      <c r="H1934" s="273">
        <v>16</v>
      </c>
      <c r="I1934" s="273">
        <v>58</v>
      </c>
      <c r="J1934" s="274">
        <v>28</v>
      </c>
    </row>
    <row r="1935" spans="1:23" ht="18" customHeight="1" x14ac:dyDescent="0.35">
      <c r="A1935" s="274">
        <f>MATCH(B1935,STUDIES!$A$3:$A$502,0)</f>
        <v>58</v>
      </c>
      <c r="B1935" s="272" t="s">
        <v>1192</v>
      </c>
      <c r="C1935" s="435">
        <v>1</v>
      </c>
      <c r="D1935" s="281" t="s">
        <v>1099</v>
      </c>
      <c r="E1935" s="272" t="s">
        <v>1244</v>
      </c>
      <c r="F1935" s="155" t="s">
        <v>1642</v>
      </c>
      <c r="G1935" s="273" t="s">
        <v>147</v>
      </c>
      <c r="H1935" s="273">
        <v>16</v>
      </c>
      <c r="I1935" s="273">
        <v>62</v>
      </c>
      <c r="J1935" s="274">
        <v>38</v>
      </c>
    </row>
    <row r="1936" spans="1:23" ht="18" customHeight="1" x14ac:dyDescent="0.35">
      <c r="A1936" s="274">
        <f>MATCH(B1936,STUDIES!$A$3:$A$502,0)</f>
        <v>58</v>
      </c>
      <c r="B1936" s="272" t="s">
        <v>1192</v>
      </c>
      <c r="C1936" s="435">
        <v>1</v>
      </c>
      <c r="D1936" s="281" t="s">
        <v>148</v>
      </c>
      <c r="E1936" s="272" t="s">
        <v>1244</v>
      </c>
      <c r="F1936" s="155" t="s">
        <v>1642</v>
      </c>
      <c r="G1936" s="273" t="s">
        <v>147</v>
      </c>
      <c r="H1936" s="273">
        <v>16</v>
      </c>
      <c r="I1936" s="273">
        <v>60</v>
      </c>
      <c r="J1936" s="274">
        <v>1</v>
      </c>
    </row>
    <row r="1937" spans="1:41" ht="18" customHeight="1" x14ac:dyDescent="0.35">
      <c r="A1937" s="274">
        <f>MATCH(B1937,STUDIES!$A$3:$A$502,0)</f>
        <v>58</v>
      </c>
      <c r="B1937" s="272" t="s">
        <v>1192</v>
      </c>
      <c r="C1937" s="435">
        <v>1</v>
      </c>
      <c r="D1937" s="281" t="s">
        <v>1098</v>
      </c>
      <c r="E1937" s="272" t="s">
        <v>1268</v>
      </c>
      <c r="F1937" s="155" t="s">
        <v>1642</v>
      </c>
      <c r="G1937" s="273" t="s">
        <v>147</v>
      </c>
      <c r="H1937" s="273">
        <v>16</v>
      </c>
      <c r="I1937" s="273">
        <v>58</v>
      </c>
      <c r="J1937" s="274">
        <v>26</v>
      </c>
    </row>
    <row r="1938" spans="1:41" ht="18" customHeight="1" x14ac:dyDescent="0.35">
      <c r="A1938" s="274">
        <f>MATCH(B1938,STUDIES!$A$3:$A$502,0)</f>
        <v>58</v>
      </c>
      <c r="B1938" s="272" t="s">
        <v>1192</v>
      </c>
      <c r="C1938" s="435">
        <v>1</v>
      </c>
      <c r="D1938" s="281" t="s">
        <v>1099</v>
      </c>
      <c r="E1938" s="272" t="s">
        <v>1268</v>
      </c>
      <c r="F1938" s="155" t="s">
        <v>1642</v>
      </c>
      <c r="G1938" s="273" t="s">
        <v>147</v>
      </c>
      <c r="H1938" s="273">
        <v>16</v>
      </c>
      <c r="I1938" s="273">
        <v>62</v>
      </c>
      <c r="J1938" s="274">
        <v>37</v>
      </c>
    </row>
    <row r="1939" spans="1:41" ht="18" customHeight="1" x14ac:dyDescent="0.35">
      <c r="A1939" s="274">
        <f>MATCH(B1939,STUDIES!$A$3:$A$502,0)</f>
        <v>58</v>
      </c>
      <c r="B1939" s="272" t="s">
        <v>1192</v>
      </c>
      <c r="C1939" s="435">
        <v>1</v>
      </c>
      <c r="D1939" s="281" t="s">
        <v>148</v>
      </c>
      <c r="E1939" s="272" t="s">
        <v>1268</v>
      </c>
      <c r="F1939" s="155" t="s">
        <v>1642</v>
      </c>
      <c r="G1939" s="273" t="s">
        <v>147</v>
      </c>
      <c r="H1939" s="273">
        <v>16</v>
      </c>
      <c r="I1939" s="273">
        <v>60</v>
      </c>
      <c r="J1939" s="274">
        <v>3</v>
      </c>
    </row>
    <row r="1940" spans="1:41" ht="18" customHeight="1" x14ac:dyDescent="0.35">
      <c r="A1940" s="274">
        <f>MATCH(B1940,STUDIES!$A$3:$A$502,0)</f>
        <v>58</v>
      </c>
      <c r="B1940" s="272" t="s">
        <v>1192</v>
      </c>
      <c r="C1940" s="435">
        <v>1</v>
      </c>
      <c r="D1940" s="281" t="s">
        <v>1098</v>
      </c>
      <c r="E1940" s="272" t="s">
        <v>1163</v>
      </c>
      <c r="F1940" s="155" t="s">
        <v>1642</v>
      </c>
      <c r="G1940" s="273" t="s">
        <v>147</v>
      </c>
      <c r="H1940" s="273">
        <v>16</v>
      </c>
      <c r="I1940" s="273">
        <v>58</v>
      </c>
      <c r="J1940" s="274">
        <v>2</v>
      </c>
    </row>
    <row r="1941" spans="1:41" ht="18" customHeight="1" x14ac:dyDescent="0.35">
      <c r="A1941" s="274">
        <f>MATCH(B1941,STUDIES!$A$3:$A$502,0)</f>
        <v>58</v>
      </c>
      <c r="B1941" s="272" t="s">
        <v>1192</v>
      </c>
      <c r="C1941" s="435">
        <v>1</v>
      </c>
      <c r="D1941" s="281" t="s">
        <v>1099</v>
      </c>
      <c r="E1941" s="272" t="s">
        <v>1163</v>
      </c>
      <c r="F1941" s="155" t="s">
        <v>1642</v>
      </c>
      <c r="G1941" s="273" t="s">
        <v>147</v>
      </c>
      <c r="H1941" s="273">
        <v>16</v>
      </c>
      <c r="I1941" s="273">
        <v>62</v>
      </c>
      <c r="J1941" s="274">
        <v>0</v>
      </c>
    </row>
    <row r="1942" spans="1:41" ht="18" customHeight="1" x14ac:dyDescent="0.35">
      <c r="A1942" s="274">
        <f>MATCH(B1942,STUDIES!$A$3:$A$502,0)</f>
        <v>58</v>
      </c>
      <c r="B1942" s="272" t="s">
        <v>1192</v>
      </c>
      <c r="C1942" s="435">
        <v>1</v>
      </c>
      <c r="D1942" s="281" t="s">
        <v>148</v>
      </c>
      <c r="E1942" s="272" t="s">
        <v>1163</v>
      </c>
      <c r="F1942" s="155" t="s">
        <v>1642</v>
      </c>
      <c r="G1942" s="273" t="s">
        <v>147</v>
      </c>
      <c r="H1942" s="273">
        <v>16</v>
      </c>
      <c r="I1942" s="273">
        <v>60</v>
      </c>
      <c r="J1942" s="274">
        <v>3</v>
      </c>
    </row>
    <row r="1943" spans="1:41" ht="18" customHeight="1" x14ac:dyDescent="0.35">
      <c r="A1943" s="274">
        <f>MATCH(B1943,STUDIES!$A$3:$A$502,0)</f>
        <v>58</v>
      </c>
      <c r="B1943" s="272" t="s">
        <v>1192</v>
      </c>
      <c r="C1943" s="435">
        <v>1</v>
      </c>
      <c r="D1943" s="281" t="s">
        <v>1098</v>
      </c>
      <c r="E1943" s="272" t="s">
        <v>1167</v>
      </c>
      <c r="F1943" s="155" t="s">
        <v>1642</v>
      </c>
      <c r="G1943" s="273" t="s">
        <v>147</v>
      </c>
      <c r="H1943" s="273">
        <v>16</v>
      </c>
      <c r="I1943" s="273">
        <v>58</v>
      </c>
      <c r="J1943" s="274">
        <v>2</v>
      </c>
    </row>
    <row r="1944" spans="1:41" ht="18" customHeight="1" x14ac:dyDescent="0.35">
      <c r="A1944" s="274">
        <f>MATCH(B1944,STUDIES!$A$3:$A$502,0)</f>
        <v>58</v>
      </c>
      <c r="B1944" s="272" t="s">
        <v>1192</v>
      </c>
      <c r="C1944" s="435">
        <v>1</v>
      </c>
      <c r="D1944" s="281" t="s">
        <v>1099</v>
      </c>
      <c r="E1944" s="272" t="s">
        <v>1167</v>
      </c>
      <c r="F1944" s="155" t="s">
        <v>1642</v>
      </c>
      <c r="G1944" s="273" t="s">
        <v>147</v>
      </c>
      <c r="H1944" s="273">
        <v>16</v>
      </c>
      <c r="I1944" s="273">
        <v>62</v>
      </c>
      <c r="J1944" s="274">
        <v>0</v>
      </c>
    </row>
    <row r="1945" spans="1:41" ht="18" customHeight="1" x14ac:dyDescent="0.35">
      <c r="A1945" s="274">
        <f>MATCH(B1945,STUDIES!$A$3:$A$502,0)</f>
        <v>58</v>
      </c>
      <c r="B1945" s="272" t="s">
        <v>1192</v>
      </c>
      <c r="C1945" s="435">
        <v>1</v>
      </c>
      <c r="D1945" s="281" t="s">
        <v>148</v>
      </c>
      <c r="E1945" s="272" t="s">
        <v>1167</v>
      </c>
      <c r="F1945" s="155" t="s">
        <v>1642</v>
      </c>
      <c r="G1945" s="273" t="s">
        <v>147</v>
      </c>
      <c r="H1945" s="273">
        <v>16</v>
      </c>
      <c r="I1945" s="273">
        <v>60</v>
      </c>
      <c r="J1945" s="274">
        <v>1</v>
      </c>
    </row>
    <row r="1946" spans="1:41" ht="18" customHeight="1" x14ac:dyDescent="0.35">
      <c r="A1946" s="274">
        <f>MATCH(B1946,STUDIES!$A$3:$A$502,0)</f>
        <v>76</v>
      </c>
      <c r="B1946" s="272" t="s">
        <v>1658</v>
      </c>
      <c r="D1946" s="232" t="s">
        <v>1623</v>
      </c>
      <c r="E1946" s="272" t="s">
        <v>151</v>
      </c>
      <c r="F1946" s="155" t="str">
        <f>_xlfn.XLOOKUP(B1946,STUDIES!$A$3:$A$1063,STUDIES!$G$3:$G$1063,"Not Found!")</f>
        <v>A</v>
      </c>
      <c r="G1946" s="273" t="s">
        <v>147</v>
      </c>
      <c r="H1946" s="273">
        <v>12</v>
      </c>
      <c r="I1946" s="273">
        <v>47</v>
      </c>
      <c r="K1946" s="273">
        <v>25.6</v>
      </c>
      <c r="M1946" s="268">
        <v>8.5</v>
      </c>
      <c r="AJ1946" s="276">
        <v>-58.7</v>
      </c>
      <c r="AM1946" s="268">
        <v>-73.8</v>
      </c>
      <c r="AN1946" s="268">
        <v>-43.5</v>
      </c>
      <c r="AO1946" s="275">
        <v>0.95</v>
      </c>
    </row>
    <row r="1947" spans="1:41" ht="18" customHeight="1" x14ac:dyDescent="0.35">
      <c r="A1947" s="274">
        <f>MATCH(B1947,STUDIES!$A$3:$A$502,0)</f>
        <v>76</v>
      </c>
      <c r="B1947" s="272" t="s">
        <v>1658</v>
      </c>
      <c r="D1947" s="232" t="s">
        <v>1624</v>
      </c>
      <c r="E1947" s="272" t="s">
        <v>151</v>
      </c>
      <c r="F1947" s="155" t="str">
        <f>_xlfn.XLOOKUP(B1947,STUDIES!$A$3:$A$1063,STUDIES!$G$3:$G$1063,"Not Found!")</f>
        <v>A</v>
      </c>
      <c r="G1947" s="273" t="s">
        <v>147</v>
      </c>
      <c r="H1947" s="273">
        <v>12</v>
      </c>
      <c r="I1947" s="273">
        <v>47</v>
      </c>
      <c r="K1947" s="273">
        <v>25.5</v>
      </c>
      <c r="M1947" s="268">
        <v>10.6</v>
      </c>
      <c r="AJ1947" s="276">
        <v>-57.2</v>
      </c>
      <c r="AM1947" s="268">
        <v>-72.5</v>
      </c>
      <c r="AN1947" s="268">
        <v>-41.9</v>
      </c>
      <c r="AO1947" s="275">
        <v>0.95</v>
      </c>
    </row>
    <row r="1948" spans="1:41" ht="18" customHeight="1" x14ac:dyDescent="0.35">
      <c r="A1948" s="274">
        <f>MATCH(B1948,STUDIES!$A$3:$A$502,0)</f>
        <v>76</v>
      </c>
      <c r="B1948" s="272" t="s">
        <v>1658</v>
      </c>
      <c r="D1948" s="232" t="s">
        <v>148</v>
      </c>
      <c r="E1948" s="272" t="s">
        <v>151</v>
      </c>
      <c r="F1948" s="155" t="str">
        <f>_xlfn.XLOOKUP(B1948,STUDIES!$A$3:$A$1063,STUDIES!$G$3:$G$1063,"Not Found!")</f>
        <v>A</v>
      </c>
      <c r="G1948" s="273" t="s">
        <v>147</v>
      </c>
      <c r="H1948" s="273">
        <v>12</v>
      </c>
      <c r="I1948" s="273">
        <v>46</v>
      </c>
      <c r="K1948" s="273">
        <v>25.7</v>
      </c>
      <c r="M1948" s="268">
        <v>10.6</v>
      </c>
      <c r="AJ1948" s="276">
        <v>-48.4</v>
      </c>
      <c r="AM1948" s="268">
        <v>-64.8</v>
      </c>
      <c r="AN1948" s="268">
        <v>-32</v>
      </c>
      <c r="AO1948" s="275">
        <v>0.95</v>
      </c>
    </row>
    <row r="1949" spans="1:41" ht="18" customHeight="1" x14ac:dyDescent="0.35">
      <c r="A1949" s="274">
        <f>MATCH(B1949,STUDIES!$A$3:$A$502,0)</f>
        <v>76</v>
      </c>
      <c r="B1949" s="272" t="s">
        <v>1658</v>
      </c>
      <c r="D1949" s="232" t="s">
        <v>148</v>
      </c>
      <c r="E1949" s="272" t="s">
        <v>695</v>
      </c>
      <c r="F1949" s="155" t="str">
        <f>_xlfn.XLOOKUP(B1949,STUDIES!$A$3:$A$1063,STUDIES!$G$3:$G$1063,"Not Found!")</f>
        <v>A</v>
      </c>
      <c r="G1949" s="273" t="s">
        <v>147</v>
      </c>
      <c r="H1949" s="273">
        <v>12</v>
      </c>
      <c r="I1949" s="273">
        <v>46</v>
      </c>
      <c r="K1949" s="268">
        <v>7.6</v>
      </c>
      <c r="M1949" s="268">
        <v>2</v>
      </c>
      <c r="AJ1949" s="276">
        <v>-23.9</v>
      </c>
      <c r="AM1949" s="268">
        <v>-40.799999999999997</v>
      </c>
      <c r="AN1949" s="268">
        <v>-7</v>
      </c>
      <c r="AO1949" s="275">
        <v>0.95</v>
      </c>
    </row>
    <row r="1950" spans="1:41" ht="18" customHeight="1" x14ac:dyDescent="0.35">
      <c r="A1950" s="274">
        <f>MATCH(B1950,STUDIES!$A$3:$A$502,0)</f>
        <v>76</v>
      </c>
      <c r="B1950" s="272" t="s">
        <v>1658</v>
      </c>
      <c r="D1950" s="232" t="s">
        <v>1623</v>
      </c>
      <c r="E1950" s="272" t="s">
        <v>695</v>
      </c>
      <c r="F1950" s="155" t="str">
        <f>_xlfn.XLOOKUP(B1950,STUDIES!$A$3:$A$1063,STUDIES!$G$3:$G$1063,"Not Found!")</f>
        <v>A</v>
      </c>
      <c r="G1950" s="273" t="s">
        <v>147</v>
      </c>
      <c r="H1950" s="273">
        <v>12</v>
      </c>
      <c r="I1950" s="273">
        <v>47</v>
      </c>
      <c r="K1950" s="268">
        <v>8</v>
      </c>
      <c r="M1950" s="268">
        <v>2.2000000000000002</v>
      </c>
      <c r="AJ1950" s="276">
        <v>-37.799999999999997</v>
      </c>
      <c r="AM1950" s="268">
        <v>-54.2</v>
      </c>
      <c r="AN1950" s="268">
        <v>-21.4</v>
      </c>
      <c r="AO1950" s="275">
        <v>0.95</v>
      </c>
    </row>
    <row r="1951" spans="1:41" ht="18" customHeight="1" x14ac:dyDescent="0.35">
      <c r="A1951" s="274">
        <f>MATCH(B1951,STUDIES!$A$3:$A$502,0)</f>
        <v>76</v>
      </c>
      <c r="B1951" s="272" t="s">
        <v>1658</v>
      </c>
      <c r="D1951" s="232" t="s">
        <v>1624</v>
      </c>
      <c r="E1951" s="272" t="s">
        <v>695</v>
      </c>
      <c r="F1951" s="155" t="str">
        <f>_xlfn.XLOOKUP(B1951,STUDIES!$A$3:$A$1063,STUDIES!$G$3:$G$1063,"Not Found!")</f>
        <v>A</v>
      </c>
      <c r="G1951" s="273" t="s">
        <v>147</v>
      </c>
      <c r="H1951" s="273">
        <v>12</v>
      </c>
      <c r="I1951" s="273">
        <v>47</v>
      </c>
      <c r="K1951" s="268">
        <v>8.1999999999999993</v>
      </c>
      <c r="M1951" s="268">
        <v>1.8</v>
      </c>
      <c r="AJ1951" s="276">
        <v>-34.1</v>
      </c>
      <c r="AM1951" s="268">
        <v>-50</v>
      </c>
      <c r="AN1951" s="268">
        <v>-18.2</v>
      </c>
      <c r="AO1951" s="275">
        <v>0.95</v>
      </c>
    </row>
    <row r="1952" spans="1:41" ht="18" customHeight="1" x14ac:dyDescent="0.35">
      <c r="A1952" s="274">
        <f>MATCH(B1952,STUDIES!$A$3:$A$502,0)</f>
        <v>76</v>
      </c>
      <c r="B1952" s="272" t="s">
        <v>1658</v>
      </c>
      <c r="D1952" s="232" t="s">
        <v>148</v>
      </c>
      <c r="E1952" s="272" t="s">
        <v>154</v>
      </c>
      <c r="F1952" s="155" t="str">
        <f>_xlfn.XLOOKUP(B1952,STUDIES!$A$3:$A$1063,STUDIES!$G$3:$G$1063,"Not Found!")</f>
        <v>A</v>
      </c>
      <c r="G1952" s="273" t="s">
        <v>147</v>
      </c>
      <c r="H1952" s="273">
        <v>12</v>
      </c>
      <c r="I1952" s="273">
        <v>46</v>
      </c>
      <c r="R1952" s="283">
        <v>-4.2</v>
      </c>
      <c r="U1952" s="268">
        <v>-6.7</v>
      </c>
      <c r="V1952" s="268">
        <v>-1.6</v>
      </c>
      <c r="W1952" s="268">
        <v>0.95</v>
      </c>
    </row>
    <row r="1953" spans="1:37" ht="18" customHeight="1" x14ac:dyDescent="0.35">
      <c r="A1953" s="274">
        <f>MATCH(B1953,STUDIES!$A$3:$A$502,0)</f>
        <v>76</v>
      </c>
      <c r="B1953" s="272" t="s">
        <v>1658</v>
      </c>
      <c r="D1953" s="232" t="s">
        <v>1623</v>
      </c>
      <c r="E1953" s="272" t="s">
        <v>154</v>
      </c>
      <c r="F1953" s="155" t="str">
        <f>_xlfn.XLOOKUP(B1953,STUDIES!$A$3:$A$1063,STUDIES!$G$3:$G$1063,"Not Found!")</f>
        <v>A</v>
      </c>
      <c r="G1953" s="273" t="s">
        <v>147</v>
      </c>
      <c r="H1953" s="273">
        <v>12</v>
      </c>
      <c r="I1953" s="273">
        <v>47</v>
      </c>
      <c r="R1953" s="283">
        <v>-5.9</v>
      </c>
      <c r="U1953" s="268">
        <v>-8.5</v>
      </c>
      <c r="V1953" s="268">
        <v>-3.4</v>
      </c>
      <c r="W1953" s="268">
        <v>0.95</v>
      </c>
    </row>
    <row r="1954" spans="1:37" ht="18" customHeight="1" x14ac:dyDescent="0.35">
      <c r="A1954" s="274">
        <f>MATCH(B1954,STUDIES!$A$3:$A$502,0)</f>
        <v>76</v>
      </c>
      <c r="B1954" s="272" t="s">
        <v>1658</v>
      </c>
      <c r="D1954" s="232" t="s">
        <v>1624</v>
      </c>
      <c r="E1954" s="272" t="s">
        <v>154</v>
      </c>
      <c r="F1954" s="155" t="str">
        <f>_xlfn.XLOOKUP(B1954,STUDIES!$A$3:$A$1063,STUDIES!$G$3:$G$1063,"Not Found!")</f>
        <v>A</v>
      </c>
      <c r="G1954" s="273" t="s">
        <v>147</v>
      </c>
      <c r="H1954" s="273">
        <v>12</v>
      </c>
      <c r="I1954" s="273">
        <v>47</v>
      </c>
      <c r="R1954" s="283">
        <v>-7.6</v>
      </c>
      <c r="U1954" s="268">
        <v>-10.1</v>
      </c>
      <c r="V1954" s="268">
        <v>-5.0999999999999996</v>
      </c>
      <c r="W1954" s="268">
        <v>0.95</v>
      </c>
    </row>
    <row r="1955" spans="1:37" ht="18" customHeight="1" x14ac:dyDescent="0.35">
      <c r="A1955" s="274">
        <f>MATCH(B1955,STUDIES!$A$3:$A$502,0)</f>
        <v>76</v>
      </c>
      <c r="B1955" s="272" t="s">
        <v>1658</v>
      </c>
      <c r="D1955" s="232" t="s">
        <v>148</v>
      </c>
      <c r="E1955" s="272" t="s">
        <v>153</v>
      </c>
      <c r="F1955" s="155" t="str">
        <f>_xlfn.XLOOKUP(B1955,STUDIES!$A$3:$A$1063,STUDIES!$G$3:$G$1063,"Not Found!")</f>
        <v>A</v>
      </c>
      <c r="G1955" s="273" t="s">
        <v>147</v>
      </c>
      <c r="H1955" s="273">
        <v>12</v>
      </c>
      <c r="I1955" s="273">
        <v>46</v>
      </c>
      <c r="R1955" s="283">
        <v>-4</v>
      </c>
      <c r="U1955" s="268">
        <v>-6.8</v>
      </c>
      <c r="V1955" s="268">
        <v>-1.1000000000000001</v>
      </c>
      <c r="W1955" s="268">
        <v>0.95</v>
      </c>
    </row>
    <row r="1956" spans="1:37" ht="18" customHeight="1" x14ac:dyDescent="0.35">
      <c r="A1956" s="274">
        <f>MATCH(B1956,STUDIES!$A$3:$A$502,0)</f>
        <v>76</v>
      </c>
      <c r="B1956" s="272" t="s">
        <v>1658</v>
      </c>
      <c r="D1956" s="232" t="s">
        <v>1623</v>
      </c>
      <c r="E1956" s="272" t="s">
        <v>153</v>
      </c>
      <c r="F1956" s="155" t="str">
        <f>_xlfn.XLOOKUP(B1956,STUDIES!$A$3:$A$1063,STUDIES!$G$3:$G$1063,"Not Found!")</f>
        <v>A</v>
      </c>
      <c r="G1956" s="273" t="s">
        <v>147</v>
      </c>
      <c r="H1956" s="273">
        <v>12</v>
      </c>
      <c r="I1956" s="273">
        <v>47</v>
      </c>
      <c r="R1956" s="283">
        <v>-8.1999999999999993</v>
      </c>
      <c r="U1956" s="268">
        <v>-11.1</v>
      </c>
      <c r="V1956" s="268">
        <v>-5.4</v>
      </c>
      <c r="W1956" s="268">
        <v>0.95</v>
      </c>
    </row>
    <row r="1957" spans="1:37" ht="18" customHeight="1" x14ac:dyDescent="0.35">
      <c r="A1957" s="274">
        <f>MATCH(B1957,STUDIES!$A$3:$A$502,0)</f>
        <v>76</v>
      </c>
      <c r="B1957" s="272" t="s">
        <v>1658</v>
      </c>
      <c r="D1957" s="232" t="s">
        <v>1624</v>
      </c>
      <c r="E1957" s="272" t="s">
        <v>153</v>
      </c>
      <c r="F1957" s="155" t="str">
        <f>_xlfn.XLOOKUP(B1957,STUDIES!$A$3:$A$1063,STUDIES!$G$3:$G$1063,"Not Found!")</f>
        <v>A</v>
      </c>
      <c r="G1957" s="273" t="s">
        <v>147</v>
      </c>
      <c r="H1957" s="273">
        <v>12</v>
      </c>
      <c r="I1957" s="273">
        <v>47</v>
      </c>
      <c r="R1957" s="283">
        <v>-8.4</v>
      </c>
      <c r="U1957" s="268">
        <v>-11.1</v>
      </c>
      <c r="V1957" s="268">
        <v>-5.6</v>
      </c>
      <c r="W1957" s="268">
        <v>0.95</v>
      </c>
    </row>
    <row r="1958" spans="1:37" ht="18" customHeight="1" x14ac:dyDescent="0.35">
      <c r="A1958" s="274">
        <f>MATCH(B1958,STUDIES!$A$3:$A$502,0)</f>
        <v>84</v>
      </c>
      <c r="B1958" s="436" t="s">
        <v>1662</v>
      </c>
      <c r="C1958" s="467"/>
      <c r="D1958" s="232" t="s">
        <v>1663</v>
      </c>
      <c r="E1958" s="272" t="s">
        <v>1268</v>
      </c>
      <c r="F1958" s="155" t="str">
        <f>_xlfn.XLOOKUP(B1958,STUDIES!$A$3:$A$1063,STUDIES!$G$3:$G$1063,"Not Found!")</f>
        <v>A</v>
      </c>
      <c r="G1958" s="273" t="s">
        <v>147</v>
      </c>
      <c r="H1958" s="273">
        <v>16</v>
      </c>
      <c r="I1958" s="273">
        <v>33</v>
      </c>
      <c r="J1958" s="274">
        <f>0.152*I1958</f>
        <v>5.016</v>
      </c>
    </row>
    <row r="1959" spans="1:37" ht="18" customHeight="1" x14ac:dyDescent="0.35">
      <c r="A1959" s="274">
        <f>MATCH(B1959,STUDIES!$A$3:$A$502,0)</f>
        <v>84</v>
      </c>
      <c r="B1959" s="436" t="s">
        <v>1662</v>
      </c>
      <c r="C1959" s="467"/>
      <c r="D1959" s="232" t="s">
        <v>148</v>
      </c>
      <c r="E1959" s="272" t="s">
        <v>1268</v>
      </c>
      <c r="F1959" s="155" t="str">
        <f>_xlfn.XLOOKUP(B1959,STUDIES!$A$3:$A$1063,STUDIES!$G$3:$G$1063,"Not Found!")</f>
        <v>A</v>
      </c>
      <c r="G1959" s="273" t="s">
        <v>147</v>
      </c>
      <c r="H1959" s="273">
        <v>16</v>
      </c>
      <c r="I1959" s="273">
        <v>32</v>
      </c>
      <c r="J1959" s="274">
        <f>0.063*I1959</f>
        <v>2.016</v>
      </c>
    </row>
    <row r="1960" spans="1:37" ht="18" customHeight="1" x14ac:dyDescent="0.35">
      <c r="A1960" s="274">
        <f>MATCH(B1960,STUDIES!$A$3:$A$502,0)</f>
        <v>84</v>
      </c>
      <c r="B1960" s="436" t="s">
        <v>1662</v>
      </c>
      <c r="C1960" s="467"/>
      <c r="D1960" s="232" t="s">
        <v>1663</v>
      </c>
      <c r="E1960" s="272" t="s">
        <v>1243</v>
      </c>
      <c r="F1960" s="155" t="str">
        <f>_xlfn.XLOOKUP(B1960,STUDIES!$A$3:$A$1063,STUDIES!$G$3:$G$1063,"Not Found!")</f>
        <v>A</v>
      </c>
      <c r="G1960" s="273" t="s">
        <v>147</v>
      </c>
      <c r="H1960" s="273">
        <v>16</v>
      </c>
      <c r="I1960" s="273">
        <v>33</v>
      </c>
      <c r="J1960" s="274">
        <f>0.273*I1960</f>
        <v>9.0090000000000003</v>
      </c>
    </row>
    <row r="1961" spans="1:37" ht="18" customHeight="1" x14ac:dyDescent="0.35">
      <c r="A1961" s="274">
        <f>MATCH(B1961,STUDIES!$A$3:$A$502,0)</f>
        <v>84</v>
      </c>
      <c r="B1961" s="436" t="s">
        <v>1662</v>
      </c>
      <c r="C1961" s="467"/>
      <c r="D1961" s="232" t="s">
        <v>148</v>
      </c>
      <c r="E1961" s="272" t="s">
        <v>1243</v>
      </c>
      <c r="F1961" s="155" t="str">
        <f>_xlfn.XLOOKUP(B1961,STUDIES!$A$3:$A$1063,STUDIES!$G$3:$G$1063,"Not Found!")</f>
        <v>A</v>
      </c>
      <c r="G1961" s="273" t="s">
        <v>147</v>
      </c>
      <c r="H1961" s="273">
        <v>16</v>
      </c>
      <c r="I1961" s="273">
        <v>32</v>
      </c>
      <c r="J1961" s="274">
        <f>0.188*I1961</f>
        <v>6.016</v>
      </c>
    </row>
    <row r="1962" spans="1:37" ht="18" customHeight="1" x14ac:dyDescent="0.35">
      <c r="A1962" s="274">
        <f>MATCH(B1962,STUDIES!$A$3:$A$502,0)</f>
        <v>84</v>
      </c>
      <c r="B1962" s="436" t="s">
        <v>1662</v>
      </c>
      <c r="C1962" s="467"/>
      <c r="D1962" s="232" t="s">
        <v>1663</v>
      </c>
      <c r="E1962" s="272" t="s">
        <v>1163</v>
      </c>
      <c r="F1962" s="155" t="str">
        <f>_xlfn.XLOOKUP(B1962,STUDIES!$A$3:$A$1063,STUDIES!$G$3:$G$1063,"Not Found!")</f>
        <v>A</v>
      </c>
      <c r="G1962" s="273" t="s">
        <v>147</v>
      </c>
      <c r="H1962" s="273">
        <v>16</v>
      </c>
      <c r="I1962" s="273">
        <v>34</v>
      </c>
      <c r="J1962" s="274">
        <v>1</v>
      </c>
    </row>
    <row r="1963" spans="1:37" ht="18" customHeight="1" x14ac:dyDescent="0.35">
      <c r="A1963" s="274">
        <f>MATCH(B1963,STUDIES!$A$3:$A$502,0)</f>
        <v>84</v>
      </c>
      <c r="B1963" s="436" t="s">
        <v>1662</v>
      </c>
      <c r="C1963" s="467"/>
      <c r="D1963" s="232" t="s">
        <v>148</v>
      </c>
      <c r="E1963" s="272" t="s">
        <v>1163</v>
      </c>
      <c r="F1963" s="155" t="str">
        <f>_xlfn.XLOOKUP(B1963,STUDIES!$A$3:$A$1063,STUDIES!$G$3:$G$1063,"Not Found!")</f>
        <v>A</v>
      </c>
      <c r="G1963" s="273" t="s">
        <v>147</v>
      </c>
      <c r="H1963" s="273">
        <v>16</v>
      </c>
      <c r="I1963" s="273">
        <v>31</v>
      </c>
      <c r="J1963" s="274">
        <v>0</v>
      </c>
    </row>
    <row r="1964" spans="1:37" ht="18" customHeight="1" x14ac:dyDescent="0.35">
      <c r="A1964" s="274">
        <f>MATCH(B1964,STUDIES!$A$3:$A$502,0)</f>
        <v>84</v>
      </c>
      <c r="B1964" s="436" t="s">
        <v>1662</v>
      </c>
      <c r="C1964" s="467"/>
      <c r="D1964" s="232" t="s">
        <v>1663</v>
      </c>
      <c r="E1964" s="272" t="s">
        <v>1167</v>
      </c>
      <c r="F1964" s="155" t="str">
        <f>_xlfn.XLOOKUP(B1964,STUDIES!$A$3:$A$1063,STUDIES!$G$3:$G$1063,"Not Found!")</f>
        <v>A</v>
      </c>
      <c r="G1964" s="273" t="s">
        <v>147</v>
      </c>
      <c r="H1964" s="273">
        <v>16</v>
      </c>
      <c r="I1964" s="273">
        <v>33</v>
      </c>
      <c r="J1964" s="274">
        <v>1</v>
      </c>
    </row>
    <row r="1965" spans="1:37" ht="18" customHeight="1" x14ac:dyDescent="0.35">
      <c r="A1965" s="274">
        <f>MATCH(B1965,STUDIES!$A$3:$A$502,0)</f>
        <v>84</v>
      </c>
      <c r="B1965" s="436" t="s">
        <v>1662</v>
      </c>
      <c r="C1965" s="467"/>
      <c r="D1965" s="232" t="s">
        <v>148</v>
      </c>
      <c r="E1965" s="272" t="s">
        <v>1167</v>
      </c>
      <c r="F1965" s="155" t="str">
        <f>_xlfn.XLOOKUP(B1965,STUDIES!$A$3:$A$1063,STUDIES!$G$3:$G$1063,"Not Found!")</f>
        <v>A</v>
      </c>
      <c r="G1965" s="273" t="s">
        <v>147</v>
      </c>
      <c r="H1965" s="273">
        <v>16</v>
      </c>
      <c r="I1965" s="273">
        <v>32</v>
      </c>
      <c r="J1965" s="274">
        <v>0</v>
      </c>
    </row>
    <row r="1966" spans="1:37" ht="18" customHeight="1" x14ac:dyDescent="0.35">
      <c r="A1966" s="274">
        <f>MATCH(B1966,STUDIES!$A$3:$A$502,0)</f>
        <v>85</v>
      </c>
      <c r="B1966" s="272" t="s">
        <v>1668</v>
      </c>
      <c r="D1966" s="281" t="s">
        <v>148</v>
      </c>
      <c r="E1966" s="272" t="s">
        <v>151</v>
      </c>
      <c r="F1966" s="155" t="str">
        <f>_xlfn.XLOOKUP(B1966,STUDIES!$A$3:$A$1063,STUDIES!$G$3:$G$1063,"Not Found!")</f>
        <v>A</v>
      </c>
      <c r="G1966" s="273" t="s">
        <v>147</v>
      </c>
      <c r="H1966" s="273">
        <v>16</v>
      </c>
      <c r="I1966" s="273">
        <v>60</v>
      </c>
      <c r="K1966" s="268">
        <v>26.6</v>
      </c>
      <c r="M1966" s="268">
        <v>11.45</v>
      </c>
      <c r="AJ1966" s="276">
        <v>-49.38</v>
      </c>
      <c r="AK1966" s="268">
        <v>7.1239999999999997</v>
      </c>
    </row>
    <row r="1967" spans="1:37" ht="18" customHeight="1" x14ac:dyDescent="0.35">
      <c r="A1967" s="274">
        <f>MATCH(B1967,STUDIES!$A$3:$A$502,0)</f>
        <v>85</v>
      </c>
      <c r="B1967" s="272" t="s">
        <v>1668</v>
      </c>
      <c r="D1967" s="281" t="s">
        <v>1672</v>
      </c>
      <c r="E1967" s="272" t="s">
        <v>151</v>
      </c>
      <c r="F1967" s="155" t="str">
        <f>_xlfn.XLOOKUP(B1967,STUDIES!$A$3:$A$1063,STUDIES!$G$3:$G$1063,"Not Found!")</f>
        <v>A</v>
      </c>
      <c r="G1967" s="273" t="s">
        <v>147</v>
      </c>
      <c r="H1967" s="273">
        <v>16</v>
      </c>
      <c r="I1967" s="273">
        <v>61</v>
      </c>
      <c r="K1967" s="268">
        <v>29.8</v>
      </c>
      <c r="M1967" s="268">
        <v>12.08</v>
      </c>
      <c r="AJ1967" s="276">
        <v>-41.63</v>
      </c>
      <c r="AK1967" s="268">
        <v>6.7069999999999999</v>
      </c>
    </row>
    <row r="1968" spans="1:37" ht="18" customHeight="1" x14ac:dyDescent="0.35">
      <c r="A1968" s="274">
        <f>MATCH(B1968,STUDIES!$A$3:$A$502,0)</f>
        <v>85</v>
      </c>
      <c r="B1968" s="272" t="s">
        <v>1668</v>
      </c>
      <c r="D1968" s="281" t="s">
        <v>1673</v>
      </c>
      <c r="E1968" s="272" t="s">
        <v>151</v>
      </c>
      <c r="F1968" s="155" t="str">
        <f>_xlfn.XLOOKUP(B1968,STUDIES!$A$3:$A$1063,STUDIES!$G$3:$G$1063,"Not Found!")</f>
        <v>A</v>
      </c>
      <c r="G1968" s="273" t="s">
        <v>147</v>
      </c>
      <c r="H1968" s="273">
        <v>16</v>
      </c>
      <c r="I1968" s="273">
        <v>59</v>
      </c>
      <c r="K1968" s="268">
        <v>27.1</v>
      </c>
      <c r="M1968" s="268">
        <v>10.38</v>
      </c>
      <c r="AJ1968" s="276">
        <v>-55.7</v>
      </c>
      <c r="AK1968" s="268">
        <v>6.2060000000000004</v>
      </c>
    </row>
    <row r="1969" spans="1:37" ht="18" customHeight="1" x14ac:dyDescent="0.35">
      <c r="A1969" s="274">
        <f>MATCH(B1969,STUDIES!$A$3:$A$502,0)</f>
        <v>85</v>
      </c>
      <c r="B1969" s="272" t="s">
        <v>1668</v>
      </c>
      <c r="D1969" s="281" t="s">
        <v>1674</v>
      </c>
      <c r="E1969" s="272" t="s">
        <v>151</v>
      </c>
      <c r="F1969" s="155" t="str">
        <f>_xlfn.XLOOKUP(B1969,STUDIES!$A$3:$A$1063,STUDIES!$G$3:$G$1063,"Not Found!")</f>
        <v>A</v>
      </c>
      <c r="G1969" s="273" t="s">
        <v>147</v>
      </c>
      <c r="H1969" s="273">
        <v>16</v>
      </c>
      <c r="I1969" s="273">
        <v>60</v>
      </c>
      <c r="K1969" s="268">
        <v>32.200000000000003</v>
      </c>
      <c r="M1969" s="268">
        <v>13.06</v>
      </c>
      <c r="AJ1969" s="276">
        <v>-47.4</v>
      </c>
      <c r="AK1969" s="268">
        <v>6.0910000000000002</v>
      </c>
    </row>
    <row r="1970" spans="1:37" ht="18" customHeight="1" x14ac:dyDescent="0.35">
      <c r="A1970" s="274">
        <f>MATCH(B1970,STUDIES!$A$3:$A$502,0)</f>
        <v>85</v>
      </c>
      <c r="B1970" s="272" t="s">
        <v>1668</v>
      </c>
      <c r="D1970" s="281" t="s">
        <v>1675</v>
      </c>
      <c r="E1970" s="272" t="s">
        <v>151</v>
      </c>
      <c r="F1970" s="155" t="str">
        <f>_xlfn.XLOOKUP(B1970,STUDIES!$A$3:$A$1063,STUDIES!$G$3:$G$1063,"Not Found!")</f>
        <v>A</v>
      </c>
      <c r="G1970" s="273" t="s">
        <v>147</v>
      </c>
      <c r="H1970" s="273">
        <v>16</v>
      </c>
      <c r="I1970" s="273">
        <v>60</v>
      </c>
      <c r="K1970" s="268">
        <v>29.5</v>
      </c>
      <c r="M1970" s="268">
        <v>12.19</v>
      </c>
      <c r="AJ1970" s="276">
        <v>-44.56</v>
      </c>
      <c r="AK1970" s="268">
        <v>7.8109999999999999</v>
      </c>
    </row>
    <row r="1971" spans="1:37" ht="18" customHeight="1" x14ac:dyDescent="0.35">
      <c r="A1971" s="274">
        <f>MATCH(B1971,STUDIES!$A$3:$A$502,0)</f>
        <v>85</v>
      </c>
      <c r="B1971" s="272" t="s">
        <v>1668</v>
      </c>
      <c r="D1971" s="281" t="s">
        <v>148</v>
      </c>
      <c r="E1971" s="272" t="s">
        <v>1258</v>
      </c>
      <c r="F1971" s="155" t="str">
        <f>_xlfn.XLOOKUP(B1971,STUDIES!$A$3:$A$1063,STUDIES!$G$3:$G$1063,"Not Found!")</f>
        <v>A</v>
      </c>
      <c r="G1971" s="273" t="s">
        <v>147</v>
      </c>
      <c r="H1971" s="273">
        <v>16</v>
      </c>
      <c r="I1971" s="273">
        <v>60</v>
      </c>
      <c r="J1971" s="274">
        <v>21</v>
      </c>
    </row>
    <row r="1972" spans="1:37" ht="18" customHeight="1" x14ac:dyDescent="0.35">
      <c r="A1972" s="274">
        <f>MATCH(B1972,STUDIES!$A$3:$A$502,0)</f>
        <v>85</v>
      </c>
      <c r="B1972" s="272" t="s">
        <v>1668</v>
      </c>
      <c r="D1972" s="281" t="s">
        <v>1672</v>
      </c>
      <c r="E1972" s="272" t="s">
        <v>1258</v>
      </c>
      <c r="F1972" s="155" t="str">
        <f>_xlfn.XLOOKUP(B1972,STUDIES!$A$3:$A$1063,STUDIES!$G$3:$G$1063,"Not Found!")</f>
        <v>A</v>
      </c>
      <c r="G1972" s="273" t="s">
        <v>147</v>
      </c>
      <c r="H1972" s="273">
        <v>16</v>
      </c>
      <c r="I1972" s="273">
        <v>61</v>
      </c>
      <c r="J1972" s="274">
        <v>19</v>
      </c>
    </row>
    <row r="1973" spans="1:37" ht="18" customHeight="1" x14ac:dyDescent="0.35">
      <c r="A1973" s="274">
        <f>MATCH(B1973,STUDIES!$A$3:$A$502,0)</f>
        <v>85</v>
      </c>
      <c r="B1973" s="272" t="s">
        <v>1668</v>
      </c>
      <c r="D1973" s="281" t="s">
        <v>1673</v>
      </c>
      <c r="E1973" s="272" t="s">
        <v>1258</v>
      </c>
      <c r="F1973" s="155" t="str">
        <f>_xlfn.XLOOKUP(B1973,STUDIES!$A$3:$A$1063,STUDIES!$G$3:$G$1063,"Not Found!")</f>
        <v>A</v>
      </c>
      <c r="G1973" s="273" t="s">
        <v>147</v>
      </c>
      <c r="H1973" s="273">
        <v>16</v>
      </c>
      <c r="I1973" s="273">
        <v>59</v>
      </c>
      <c r="J1973" s="274">
        <v>27</v>
      </c>
    </row>
    <row r="1974" spans="1:37" ht="18" customHeight="1" x14ac:dyDescent="0.35">
      <c r="A1974" s="274">
        <f>MATCH(B1974,STUDIES!$A$3:$A$502,0)</f>
        <v>85</v>
      </c>
      <c r="B1974" s="272" t="s">
        <v>1668</v>
      </c>
      <c r="D1974" s="281" t="s">
        <v>1674</v>
      </c>
      <c r="E1974" s="272" t="s">
        <v>1258</v>
      </c>
      <c r="F1974" s="155" t="str">
        <f>_xlfn.XLOOKUP(B1974,STUDIES!$A$3:$A$1063,STUDIES!$G$3:$G$1063,"Not Found!")</f>
        <v>A</v>
      </c>
      <c r="G1974" s="273" t="s">
        <v>147</v>
      </c>
      <c r="H1974" s="273">
        <v>16</v>
      </c>
      <c r="I1974" s="273">
        <v>60</v>
      </c>
      <c r="J1974" s="274">
        <v>21</v>
      </c>
    </row>
    <row r="1975" spans="1:37" ht="18" customHeight="1" x14ac:dyDescent="0.35">
      <c r="A1975" s="274">
        <f>MATCH(B1975,STUDIES!$A$3:$A$502,0)</f>
        <v>85</v>
      </c>
      <c r="B1975" s="272" t="s">
        <v>1668</v>
      </c>
      <c r="D1975" s="281" t="s">
        <v>1675</v>
      </c>
      <c r="E1975" s="272" t="s">
        <v>1258</v>
      </c>
      <c r="F1975" s="155" t="str">
        <f>_xlfn.XLOOKUP(B1975,STUDIES!$A$3:$A$1063,STUDIES!$G$3:$G$1063,"Not Found!")</f>
        <v>A</v>
      </c>
      <c r="G1975" s="273" t="s">
        <v>147</v>
      </c>
      <c r="H1975" s="273">
        <v>16</v>
      </c>
      <c r="I1975" s="273">
        <v>60</v>
      </c>
      <c r="J1975" s="274">
        <v>18</v>
      </c>
    </row>
    <row r="1976" spans="1:37" ht="18" customHeight="1" x14ac:dyDescent="0.35">
      <c r="A1976" s="274">
        <f>MATCH(B1976,STUDIES!$A$3:$A$502,0)</f>
        <v>85</v>
      </c>
      <c r="B1976" s="272" t="s">
        <v>1668</v>
      </c>
      <c r="D1976" s="281" t="s">
        <v>148</v>
      </c>
      <c r="E1976" s="272" t="s">
        <v>1243</v>
      </c>
      <c r="F1976" s="155" t="str">
        <f>_xlfn.XLOOKUP(B1976,STUDIES!$A$3:$A$1063,STUDIES!$G$3:$G$1063,"Not Found!")</f>
        <v>A</v>
      </c>
      <c r="G1976" s="273" t="s">
        <v>147</v>
      </c>
      <c r="H1976" s="273">
        <v>16</v>
      </c>
      <c r="I1976" s="273">
        <v>60</v>
      </c>
      <c r="J1976" s="274">
        <v>10</v>
      </c>
    </row>
    <row r="1977" spans="1:37" ht="18" customHeight="1" x14ac:dyDescent="0.35">
      <c r="A1977" s="274">
        <f>MATCH(B1977,STUDIES!$A$3:$A$502,0)</f>
        <v>85</v>
      </c>
      <c r="B1977" s="272" t="s">
        <v>1668</v>
      </c>
      <c r="D1977" s="281" t="s">
        <v>1672</v>
      </c>
      <c r="E1977" s="272" t="s">
        <v>1243</v>
      </c>
      <c r="F1977" s="155" t="str">
        <f>_xlfn.XLOOKUP(B1977,STUDIES!$A$3:$A$1063,STUDIES!$G$3:$G$1063,"Not Found!")</f>
        <v>A</v>
      </c>
      <c r="G1977" s="273" t="s">
        <v>147</v>
      </c>
      <c r="H1977" s="273">
        <v>16</v>
      </c>
      <c r="I1977" s="273">
        <v>61</v>
      </c>
      <c r="J1977" s="274">
        <v>10</v>
      </c>
    </row>
    <row r="1978" spans="1:37" ht="18" customHeight="1" x14ac:dyDescent="0.35">
      <c r="A1978" s="274">
        <f>MATCH(B1978,STUDIES!$A$3:$A$502,0)</f>
        <v>85</v>
      </c>
      <c r="B1978" s="272" t="s">
        <v>1668</v>
      </c>
      <c r="D1978" s="281" t="s">
        <v>1673</v>
      </c>
      <c r="E1978" s="272" t="s">
        <v>1243</v>
      </c>
      <c r="F1978" s="155" t="str">
        <f>_xlfn.XLOOKUP(B1978,STUDIES!$A$3:$A$1063,STUDIES!$G$3:$G$1063,"Not Found!")</f>
        <v>A</v>
      </c>
      <c r="G1978" s="273" t="s">
        <v>147</v>
      </c>
      <c r="H1978" s="273">
        <v>16</v>
      </c>
      <c r="I1978" s="273">
        <v>59</v>
      </c>
      <c r="J1978" s="274">
        <v>14</v>
      </c>
    </row>
    <row r="1979" spans="1:37" ht="18" customHeight="1" x14ac:dyDescent="0.35">
      <c r="A1979" s="274">
        <f>MATCH(B1979,STUDIES!$A$3:$A$502,0)</f>
        <v>85</v>
      </c>
      <c r="B1979" s="272" t="s">
        <v>1668</v>
      </c>
      <c r="D1979" s="281" t="s">
        <v>1674</v>
      </c>
      <c r="E1979" s="272" t="s">
        <v>1243</v>
      </c>
      <c r="F1979" s="155" t="str">
        <f>_xlfn.XLOOKUP(B1979,STUDIES!$A$3:$A$1063,STUDIES!$G$3:$G$1063,"Not Found!")</f>
        <v>A</v>
      </c>
      <c r="G1979" s="273" t="s">
        <v>147</v>
      </c>
      <c r="H1979" s="273">
        <v>16</v>
      </c>
      <c r="I1979" s="273">
        <v>60</v>
      </c>
      <c r="J1979" s="274">
        <v>12</v>
      </c>
    </row>
    <row r="1980" spans="1:37" ht="18" customHeight="1" x14ac:dyDescent="0.35">
      <c r="A1980" s="274">
        <f>MATCH(B1980,STUDIES!$A$3:$A$502,0)</f>
        <v>85</v>
      </c>
      <c r="B1980" s="272" t="s">
        <v>1668</v>
      </c>
      <c r="D1980" s="281" t="s">
        <v>1675</v>
      </c>
      <c r="E1980" s="272" t="s">
        <v>1243</v>
      </c>
      <c r="F1980" s="155" t="str">
        <f>_xlfn.XLOOKUP(B1980,STUDIES!$A$3:$A$1063,STUDIES!$G$3:$G$1063,"Not Found!")</f>
        <v>A</v>
      </c>
      <c r="G1980" s="273" t="s">
        <v>147</v>
      </c>
      <c r="H1980" s="273">
        <v>16</v>
      </c>
      <c r="I1980" s="273">
        <v>60</v>
      </c>
      <c r="J1980" s="274">
        <v>11</v>
      </c>
    </row>
    <row r="1981" spans="1:37" ht="18" customHeight="1" x14ac:dyDescent="0.35">
      <c r="A1981" s="274">
        <f>MATCH(B1981,STUDIES!$A$3:$A$502,0)</f>
        <v>85</v>
      </c>
      <c r="B1981" s="272" t="s">
        <v>1668</v>
      </c>
      <c r="D1981" s="281" t="s">
        <v>148</v>
      </c>
      <c r="E1981" s="272" t="s">
        <v>1244</v>
      </c>
      <c r="F1981" s="155" t="str">
        <f>_xlfn.XLOOKUP(B1981,STUDIES!$A$3:$A$1063,STUDIES!$G$3:$G$1063,"Not Found!")</f>
        <v>A</v>
      </c>
      <c r="G1981" s="273" t="s">
        <v>147</v>
      </c>
      <c r="H1981" s="273">
        <v>16</v>
      </c>
      <c r="I1981" s="273">
        <v>60</v>
      </c>
      <c r="J1981" s="274">
        <v>3</v>
      </c>
    </row>
    <row r="1982" spans="1:37" ht="18" customHeight="1" x14ac:dyDescent="0.35">
      <c r="A1982" s="274">
        <f>MATCH(B1982,STUDIES!$A$3:$A$502,0)</f>
        <v>85</v>
      </c>
      <c r="B1982" s="272" t="s">
        <v>1668</v>
      </c>
      <c r="D1982" s="281" t="s">
        <v>1672</v>
      </c>
      <c r="E1982" s="272" t="s">
        <v>1244</v>
      </c>
      <c r="F1982" s="155" t="str">
        <f>_xlfn.XLOOKUP(B1982,STUDIES!$A$3:$A$1063,STUDIES!$G$3:$G$1063,"Not Found!")</f>
        <v>A</v>
      </c>
      <c r="G1982" s="273" t="s">
        <v>147</v>
      </c>
      <c r="H1982" s="273">
        <v>16</v>
      </c>
      <c r="I1982" s="273">
        <v>61</v>
      </c>
      <c r="J1982" s="274">
        <v>5</v>
      </c>
    </row>
    <row r="1983" spans="1:37" ht="18" customHeight="1" x14ac:dyDescent="0.35">
      <c r="A1983" s="274">
        <f>MATCH(B1983,STUDIES!$A$3:$A$502,0)</f>
        <v>85</v>
      </c>
      <c r="B1983" s="272" t="s">
        <v>1668</v>
      </c>
      <c r="D1983" s="281" t="s">
        <v>1673</v>
      </c>
      <c r="E1983" s="272" t="s">
        <v>1244</v>
      </c>
      <c r="F1983" s="155" t="str">
        <f>_xlfn.XLOOKUP(B1983,STUDIES!$A$3:$A$1063,STUDIES!$G$3:$G$1063,"Not Found!")</f>
        <v>A</v>
      </c>
      <c r="G1983" s="273" t="s">
        <v>147</v>
      </c>
      <c r="H1983" s="273">
        <v>16</v>
      </c>
      <c r="I1983" s="273">
        <v>59</v>
      </c>
      <c r="J1983" s="274">
        <v>7</v>
      </c>
    </row>
    <row r="1984" spans="1:37" ht="18" customHeight="1" x14ac:dyDescent="0.35">
      <c r="A1984" s="274">
        <f>MATCH(B1984,STUDIES!$A$3:$A$502,0)</f>
        <v>85</v>
      </c>
      <c r="B1984" s="272" t="s">
        <v>1668</v>
      </c>
      <c r="D1984" s="281" t="s">
        <v>1674</v>
      </c>
      <c r="E1984" s="272" t="s">
        <v>1244</v>
      </c>
      <c r="F1984" s="155" t="str">
        <f>_xlfn.XLOOKUP(B1984,STUDIES!$A$3:$A$1063,STUDIES!$G$3:$G$1063,"Not Found!")</f>
        <v>A</v>
      </c>
      <c r="G1984" s="273" t="s">
        <v>147</v>
      </c>
      <c r="H1984" s="273">
        <v>16</v>
      </c>
      <c r="I1984" s="273">
        <v>60</v>
      </c>
      <c r="J1984" s="274">
        <v>7</v>
      </c>
    </row>
    <row r="1985" spans="1:19" ht="18" customHeight="1" x14ac:dyDescent="0.35">
      <c r="A1985" s="274">
        <f>MATCH(B1985,STUDIES!$A$3:$A$502,0)</f>
        <v>85</v>
      </c>
      <c r="B1985" s="272" t="s">
        <v>1668</v>
      </c>
      <c r="D1985" s="281" t="s">
        <v>1675</v>
      </c>
      <c r="E1985" s="272" t="s">
        <v>1244</v>
      </c>
      <c r="F1985" s="155" t="str">
        <f>_xlfn.XLOOKUP(B1985,STUDIES!$A$3:$A$1063,STUDIES!$G$3:$G$1063,"Not Found!")</f>
        <v>A</v>
      </c>
      <c r="G1985" s="273" t="s">
        <v>147</v>
      </c>
      <c r="H1985" s="273">
        <v>16</v>
      </c>
      <c r="I1985" s="273">
        <v>60</v>
      </c>
      <c r="J1985" s="274">
        <v>2</v>
      </c>
    </row>
    <row r="1986" spans="1:19" ht="18" customHeight="1" x14ac:dyDescent="0.35">
      <c r="A1986" s="274">
        <f>MATCH(B1986,STUDIES!$A$3:$A$502,0)</f>
        <v>85</v>
      </c>
      <c r="B1986" s="272" t="s">
        <v>1668</v>
      </c>
      <c r="D1986" s="281" t="s">
        <v>148</v>
      </c>
      <c r="E1986" s="272" t="s">
        <v>1268</v>
      </c>
      <c r="F1986" s="155" t="str">
        <f>_xlfn.XLOOKUP(B1986,STUDIES!$A$3:$A$1063,STUDIES!$G$3:$G$1063,"Not Found!")</f>
        <v>A</v>
      </c>
      <c r="G1986" s="273" t="s">
        <v>147</v>
      </c>
      <c r="H1986" s="273">
        <v>16</v>
      </c>
      <c r="I1986" s="273">
        <v>60</v>
      </c>
      <c r="J1986" s="274">
        <v>8</v>
      </c>
    </row>
    <row r="1987" spans="1:19" ht="18" customHeight="1" x14ac:dyDescent="0.35">
      <c r="A1987" s="274">
        <f>MATCH(B1987,STUDIES!$A$3:$A$502,0)</f>
        <v>85</v>
      </c>
      <c r="B1987" s="272" t="s">
        <v>1668</v>
      </c>
      <c r="D1987" s="281" t="s">
        <v>1672</v>
      </c>
      <c r="E1987" s="272" t="s">
        <v>1268</v>
      </c>
      <c r="F1987" s="155" t="str">
        <f>_xlfn.XLOOKUP(B1987,STUDIES!$A$3:$A$1063,STUDIES!$G$3:$G$1063,"Not Found!")</f>
        <v>A</v>
      </c>
      <c r="G1987" s="273" t="s">
        <v>147</v>
      </c>
      <c r="H1987" s="273">
        <v>16</v>
      </c>
      <c r="I1987" s="273">
        <v>61</v>
      </c>
      <c r="J1987" s="274">
        <v>7</v>
      </c>
    </row>
    <row r="1988" spans="1:19" ht="18" customHeight="1" x14ac:dyDescent="0.35">
      <c r="A1988" s="274">
        <f>MATCH(B1988,STUDIES!$A$3:$A$502,0)</f>
        <v>85</v>
      </c>
      <c r="B1988" s="272" t="s">
        <v>1668</v>
      </c>
      <c r="D1988" s="281" t="s">
        <v>1673</v>
      </c>
      <c r="E1988" s="272" t="s">
        <v>1268</v>
      </c>
      <c r="F1988" s="155" t="str">
        <f>_xlfn.XLOOKUP(B1988,STUDIES!$A$3:$A$1063,STUDIES!$G$3:$G$1063,"Not Found!")</f>
        <v>A</v>
      </c>
      <c r="G1988" s="273" t="s">
        <v>147</v>
      </c>
      <c r="H1988" s="273">
        <v>16</v>
      </c>
      <c r="I1988" s="273">
        <v>59</v>
      </c>
      <c r="J1988" s="274">
        <v>8</v>
      </c>
    </row>
    <row r="1989" spans="1:19" ht="18" customHeight="1" x14ac:dyDescent="0.35">
      <c r="A1989" s="274">
        <f>MATCH(B1989,STUDIES!$A$3:$A$502,0)</f>
        <v>85</v>
      </c>
      <c r="B1989" s="272" t="s">
        <v>1668</v>
      </c>
      <c r="D1989" s="281" t="s">
        <v>1674</v>
      </c>
      <c r="E1989" s="272" t="s">
        <v>1268</v>
      </c>
      <c r="F1989" s="155" t="str">
        <f>_xlfn.XLOOKUP(B1989,STUDIES!$A$3:$A$1063,STUDIES!$G$3:$G$1063,"Not Found!")</f>
        <v>A</v>
      </c>
      <c r="G1989" s="273" t="s">
        <v>147</v>
      </c>
      <c r="H1989" s="273">
        <v>16</v>
      </c>
      <c r="I1989" s="273">
        <v>60</v>
      </c>
      <c r="J1989" s="274">
        <v>10</v>
      </c>
    </row>
    <row r="1990" spans="1:19" ht="18" customHeight="1" x14ac:dyDescent="0.35">
      <c r="A1990" s="274">
        <f>MATCH(B1990,STUDIES!$A$3:$A$502,0)</f>
        <v>85</v>
      </c>
      <c r="B1990" s="272" t="s">
        <v>1668</v>
      </c>
      <c r="D1990" s="281" t="s">
        <v>1675</v>
      </c>
      <c r="E1990" s="272" t="s">
        <v>1268</v>
      </c>
      <c r="F1990" s="155" t="str">
        <f>_xlfn.XLOOKUP(B1990,STUDIES!$A$3:$A$1063,STUDIES!$G$3:$G$1063,"Not Found!")</f>
        <v>A</v>
      </c>
      <c r="G1990" s="273" t="s">
        <v>147</v>
      </c>
      <c r="H1990" s="273">
        <v>16</v>
      </c>
      <c r="I1990" s="273">
        <v>60</v>
      </c>
      <c r="J1990" s="274">
        <v>9</v>
      </c>
    </row>
    <row r="1991" spans="1:19" ht="18" customHeight="1" x14ac:dyDescent="0.35">
      <c r="A1991" s="274">
        <f>MATCH(B1991,STUDIES!$A$3:$A$502,0)</f>
        <v>85</v>
      </c>
      <c r="B1991" s="272" t="s">
        <v>1668</v>
      </c>
      <c r="D1991" s="281" t="s">
        <v>148</v>
      </c>
      <c r="E1991" s="272" t="s">
        <v>154</v>
      </c>
      <c r="F1991" s="155" t="str">
        <f>_xlfn.XLOOKUP(B1991,STUDIES!$A$3:$A$1063,STUDIES!$G$3:$G$1063,"Not Found!")</f>
        <v>A</v>
      </c>
      <c r="G1991" s="273" t="s">
        <v>147</v>
      </c>
      <c r="H1991" s="273">
        <v>16</v>
      </c>
      <c r="I1991" s="273">
        <v>60</v>
      </c>
      <c r="R1991" s="283">
        <v>-5.61</v>
      </c>
      <c r="S1991" s="268">
        <v>0.94599999999999995</v>
      </c>
    </row>
    <row r="1992" spans="1:19" ht="18" customHeight="1" x14ac:dyDescent="0.35">
      <c r="A1992" s="274">
        <f>MATCH(B1992,STUDIES!$A$3:$A$502,0)</f>
        <v>85</v>
      </c>
      <c r="B1992" s="272" t="s">
        <v>1668</v>
      </c>
      <c r="D1992" s="281" t="s">
        <v>1672</v>
      </c>
      <c r="E1992" s="272" t="s">
        <v>154</v>
      </c>
      <c r="F1992" s="155" t="str">
        <f>_xlfn.XLOOKUP(B1992,STUDIES!$A$3:$A$1063,STUDIES!$G$3:$G$1063,"Not Found!")</f>
        <v>A</v>
      </c>
      <c r="G1992" s="273" t="s">
        <v>147</v>
      </c>
      <c r="H1992" s="273">
        <v>16</v>
      </c>
      <c r="I1992" s="273">
        <v>61</v>
      </c>
      <c r="R1992" s="283">
        <v>-5.35</v>
      </c>
      <c r="S1992" s="268">
        <v>0.96599999999999997</v>
      </c>
    </row>
    <row r="1993" spans="1:19" ht="18" customHeight="1" x14ac:dyDescent="0.35">
      <c r="A1993" s="274">
        <f>MATCH(B1993,STUDIES!$A$3:$A$502,0)</f>
        <v>85</v>
      </c>
      <c r="B1993" s="272" t="s">
        <v>1668</v>
      </c>
      <c r="D1993" s="281" t="s">
        <v>1673</v>
      </c>
      <c r="E1993" s="272" t="s">
        <v>154</v>
      </c>
      <c r="F1993" s="155" t="str">
        <f>_xlfn.XLOOKUP(B1993,STUDIES!$A$3:$A$1063,STUDIES!$G$3:$G$1063,"Not Found!")</f>
        <v>A</v>
      </c>
      <c r="G1993" s="273" t="s">
        <v>147</v>
      </c>
      <c r="H1993" s="273">
        <v>16</v>
      </c>
      <c r="I1993" s="273">
        <v>59</v>
      </c>
      <c r="R1993" s="283">
        <v>-6.52</v>
      </c>
      <c r="S1993" s="268">
        <v>0.94499999999999995</v>
      </c>
    </row>
    <row r="1994" spans="1:19" ht="18" customHeight="1" x14ac:dyDescent="0.35">
      <c r="A1994" s="274">
        <f>MATCH(B1994,STUDIES!$A$3:$A$502,0)</f>
        <v>85</v>
      </c>
      <c r="B1994" s="272" t="s">
        <v>1668</v>
      </c>
      <c r="D1994" s="281" t="s">
        <v>1674</v>
      </c>
      <c r="E1994" s="272" t="s">
        <v>154</v>
      </c>
      <c r="F1994" s="155" t="str">
        <f>_xlfn.XLOOKUP(B1994,STUDIES!$A$3:$A$1063,STUDIES!$G$3:$G$1063,"Not Found!")</f>
        <v>A</v>
      </c>
      <c r="G1994" s="273" t="s">
        <v>147</v>
      </c>
      <c r="H1994" s="273">
        <v>16</v>
      </c>
      <c r="I1994" s="273">
        <v>59</v>
      </c>
      <c r="R1994" s="283">
        <v>-6.05</v>
      </c>
      <c r="S1994" s="268">
        <v>0.94499999999999995</v>
      </c>
    </row>
    <row r="1995" spans="1:19" ht="18" customHeight="1" x14ac:dyDescent="0.35">
      <c r="A1995" s="274">
        <f>MATCH(B1995,STUDIES!$A$3:$A$502,0)</f>
        <v>85</v>
      </c>
      <c r="B1995" s="272" t="s">
        <v>1668</v>
      </c>
      <c r="D1995" s="281" t="s">
        <v>1675</v>
      </c>
      <c r="E1995" s="272" t="s">
        <v>154</v>
      </c>
      <c r="F1995" s="155" t="str">
        <f>_xlfn.XLOOKUP(B1995,STUDIES!$A$3:$A$1063,STUDIES!$G$3:$G$1063,"Not Found!")</f>
        <v>A</v>
      </c>
      <c r="G1995" s="273" t="s">
        <v>147</v>
      </c>
      <c r="H1995" s="273">
        <v>16</v>
      </c>
      <c r="I1995" s="273">
        <v>60</v>
      </c>
      <c r="R1995" s="283">
        <v>-5.18</v>
      </c>
      <c r="S1995" s="268">
        <v>1.036</v>
      </c>
    </row>
    <row r="1996" spans="1:19" ht="18" customHeight="1" x14ac:dyDescent="0.35">
      <c r="A1996" s="274">
        <f>MATCH(B1996,STUDIES!$A$3:$A$502,0)</f>
        <v>85</v>
      </c>
      <c r="B1996" s="272" t="s">
        <v>1668</v>
      </c>
      <c r="D1996" s="281" t="s">
        <v>148</v>
      </c>
      <c r="E1996" s="272" t="s">
        <v>1163</v>
      </c>
      <c r="F1996" s="155" t="str">
        <f>_xlfn.XLOOKUP(B1996,STUDIES!$A$3:$A$1063,STUDIES!$G$3:$G$1063,"Not Found!")</f>
        <v>A</v>
      </c>
      <c r="G1996" s="273" t="s">
        <v>147</v>
      </c>
      <c r="H1996" s="273">
        <v>16</v>
      </c>
      <c r="I1996" s="273">
        <v>60</v>
      </c>
      <c r="J1996" s="274">
        <v>1</v>
      </c>
    </row>
    <row r="1997" spans="1:19" ht="18" customHeight="1" x14ac:dyDescent="0.35">
      <c r="A1997" s="274">
        <f>MATCH(B1997,STUDIES!$A$3:$A$502,0)</f>
        <v>85</v>
      </c>
      <c r="B1997" s="272" t="s">
        <v>1668</v>
      </c>
      <c r="D1997" s="281" t="s">
        <v>1672</v>
      </c>
      <c r="E1997" s="272" t="s">
        <v>1163</v>
      </c>
      <c r="F1997" s="155" t="str">
        <f>_xlfn.XLOOKUP(B1997,STUDIES!$A$3:$A$1063,STUDIES!$G$3:$G$1063,"Not Found!")</f>
        <v>A</v>
      </c>
      <c r="G1997" s="273" t="s">
        <v>147</v>
      </c>
      <c r="H1997" s="273">
        <v>16</v>
      </c>
      <c r="I1997" s="273">
        <v>61</v>
      </c>
      <c r="J1997" s="274">
        <v>2</v>
      </c>
    </row>
    <row r="1998" spans="1:19" ht="18" customHeight="1" x14ac:dyDescent="0.35">
      <c r="A1998" s="274">
        <f>MATCH(B1998,STUDIES!$A$3:$A$502,0)</f>
        <v>85</v>
      </c>
      <c r="B1998" s="272" t="s">
        <v>1668</v>
      </c>
      <c r="D1998" s="281" t="s">
        <v>1673</v>
      </c>
      <c r="E1998" s="272" t="s">
        <v>1163</v>
      </c>
      <c r="F1998" s="155" t="str">
        <f>_xlfn.XLOOKUP(B1998,STUDIES!$A$3:$A$1063,STUDIES!$G$3:$G$1063,"Not Found!")</f>
        <v>A</v>
      </c>
      <c r="G1998" s="273" t="s">
        <v>147</v>
      </c>
      <c r="H1998" s="273">
        <v>16</v>
      </c>
      <c r="I1998" s="273">
        <v>59</v>
      </c>
      <c r="J1998" s="274">
        <v>3</v>
      </c>
    </row>
    <row r="1999" spans="1:19" ht="18" customHeight="1" x14ac:dyDescent="0.35">
      <c r="A1999" s="274">
        <f>MATCH(B1999,STUDIES!$A$3:$A$502,0)</f>
        <v>85</v>
      </c>
      <c r="B1999" s="272" t="s">
        <v>1668</v>
      </c>
      <c r="D1999" s="281" t="s">
        <v>1674</v>
      </c>
      <c r="E1999" s="272" t="s">
        <v>1163</v>
      </c>
      <c r="F1999" s="155" t="str">
        <f>_xlfn.XLOOKUP(B1999,STUDIES!$A$3:$A$1063,STUDIES!$G$3:$G$1063,"Not Found!")</f>
        <v>A</v>
      </c>
      <c r="G1999" s="273" t="s">
        <v>147</v>
      </c>
      <c r="H1999" s="273">
        <v>16</v>
      </c>
      <c r="I1999" s="273">
        <v>60</v>
      </c>
      <c r="J1999" s="274">
        <v>3</v>
      </c>
    </row>
    <row r="2000" spans="1:19" ht="18" customHeight="1" x14ac:dyDescent="0.35">
      <c r="A2000" s="274">
        <f>MATCH(B2000,STUDIES!$A$3:$A$502,0)</f>
        <v>85</v>
      </c>
      <c r="B2000" s="272" t="s">
        <v>1668</v>
      </c>
      <c r="D2000" s="281" t="s">
        <v>1675</v>
      </c>
      <c r="E2000" s="272" t="s">
        <v>1163</v>
      </c>
      <c r="F2000" s="155" t="str">
        <f>_xlfn.XLOOKUP(B2000,STUDIES!$A$3:$A$1063,STUDIES!$G$3:$G$1063,"Not Found!")</f>
        <v>A</v>
      </c>
      <c r="G2000" s="273" t="s">
        <v>147</v>
      </c>
      <c r="H2000" s="273">
        <v>16</v>
      </c>
      <c r="I2000" s="273">
        <v>60</v>
      </c>
      <c r="J2000" s="274">
        <v>3</v>
      </c>
    </row>
    <row r="2001" spans="1:10" ht="18" customHeight="1" x14ac:dyDescent="0.35">
      <c r="A2001" s="274">
        <f>MATCH(B2001,STUDIES!$A$3:$A$502,0)</f>
        <v>85</v>
      </c>
      <c r="B2001" s="272" t="s">
        <v>1668</v>
      </c>
      <c r="D2001" s="281" t="s">
        <v>148</v>
      </c>
      <c r="E2001" s="272" t="s">
        <v>1167</v>
      </c>
      <c r="F2001" s="155" t="str">
        <f>_xlfn.XLOOKUP(B2001,STUDIES!$A$3:$A$1063,STUDIES!$G$3:$G$1063,"Not Found!")</f>
        <v>A</v>
      </c>
      <c r="G2001" s="273" t="s">
        <v>147</v>
      </c>
      <c r="H2001" s="273">
        <v>16</v>
      </c>
      <c r="I2001" s="273">
        <v>60</v>
      </c>
      <c r="J2001" s="274">
        <v>4</v>
      </c>
    </row>
    <row r="2002" spans="1:10" ht="18" customHeight="1" x14ac:dyDescent="0.35">
      <c r="A2002" s="274">
        <f>MATCH(B2002,STUDIES!$A$3:$A$502,0)</f>
        <v>85</v>
      </c>
      <c r="B2002" s="272" t="s">
        <v>1668</v>
      </c>
      <c r="D2002" s="281" t="s">
        <v>1672</v>
      </c>
      <c r="E2002" s="272" t="s">
        <v>1167</v>
      </c>
      <c r="F2002" s="155" t="str">
        <f>_xlfn.XLOOKUP(B2002,STUDIES!$A$3:$A$1063,STUDIES!$G$3:$G$1063,"Not Found!")</f>
        <v>A</v>
      </c>
      <c r="G2002" s="273" t="s">
        <v>147</v>
      </c>
      <c r="H2002" s="273">
        <v>16</v>
      </c>
      <c r="I2002" s="273">
        <v>61</v>
      </c>
      <c r="J2002" s="274">
        <v>7</v>
      </c>
    </row>
    <row r="2003" spans="1:10" ht="18" customHeight="1" x14ac:dyDescent="0.35">
      <c r="A2003" s="274">
        <f>MATCH(B2003,STUDIES!$A$3:$A$502,0)</f>
        <v>85</v>
      </c>
      <c r="B2003" s="272" t="s">
        <v>1668</v>
      </c>
      <c r="D2003" s="281" t="s">
        <v>1673</v>
      </c>
      <c r="E2003" s="272" t="s">
        <v>1167</v>
      </c>
      <c r="F2003" s="155" t="str">
        <f>_xlfn.XLOOKUP(B2003,STUDIES!$A$3:$A$1063,STUDIES!$G$3:$G$1063,"Not Found!")</f>
        <v>A</v>
      </c>
      <c r="G2003" s="273" t="s">
        <v>147</v>
      </c>
      <c r="H2003" s="273">
        <v>16</v>
      </c>
      <c r="I2003" s="273">
        <v>59</v>
      </c>
      <c r="J2003" s="274">
        <v>2</v>
      </c>
    </row>
    <row r="2004" spans="1:10" ht="18" customHeight="1" x14ac:dyDescent="0.35">
      <c r="A2004" s="274">
        <f>MATCH(B2004,STUDIES!$A$3:$A$502,0)</f>
        <v>85</v>
      </c>
      <c r="B2004" s="272" t="s">
        <v>1668</v>
      </c>
      <c r="D2004" s="281" t="s">
        <v>1674</v>
      </c>
      <c r="E2004" s="272" t="s">
        <v>1167</v>
      </c>
      <c r="F2004" s="155" t="str">
        <f>_xlfn.XLOOKUP(B2004,STUDIES!$A$3:$A$1063,STUDIES!$G$3:$G$1063,"Not Found!")</f>
        <v>A</v>
      </c>
      <c r="G2004" s="273" t="s">
        <v>147</v>
      </c>
      <c r="H2004" s="273">
        <v>16</v>
      </c>
      <c r="I2004" s="273">
        <v>60</v>
      </c>
      <c r="J2004" s="274">
        <v>4</v>
      </c>
    </row>
    <row r="2005" spans="1:10" ht="18" customHeight="1" x14ac:dyDescent="0.35">
      <c r="A2005" s="274">
        <f>MATCH(B2005,STUDIES!$A$3:$A$502,0)</f>
        <v>85</v>
      </c>
      <c r="B2005" s="272" t="s">
        <v>1668</v>
      </c>
      <c r="D2005" s="281" t="s">
        <v>1675</v>
      </c>
      <c r="E2005" s="272" t="s">
        <v>1167</v>
      </c>
      <c r="F2005" s="155" t="str">
        <f>_xlfn.XLOOKUP(B2005,STUDIES!$A$3:$A$1063,STUDIES!$G$3:$G$1063,"Not Found!")</f>
        <v>A</v>
      </c>
      <c r="G2005" s="273" t="s">
        <v>147</v>
      </c>
      <c r="H2005" s="273">
        <v>16</v>
      </c>
      <c r="I2005" s="273">
        <v>60</v>
      </c>
      <c r="J2005" s="274">
        <v>5</v>
      </c>
    </row>
    <row r="2006" spans="1:10" ht="18" customHeight="1" x14ac:dyDescent="0.35">
      <c r="A2006" s="274">
        <f>MATCH(B2006,STUDIES!$A$3:$A$502,0)</f>
        <v>86</v>
      </c>
      <c r="B2006" s="272" t="s">
        <v>1686</v>
      </c>
      <c r="D2006" s="232" t="s">
        <v>148</v>
      </c>
      <c r="E2006" s="272" t="s">
        <v>1268</v>
      </c>
      <c r="F2006" s="155" t="str">
        <f>_xlfn.XLOOKUP(B2006,STUDIES!$A$3:$A$1063,STUDIES!$G$3:$G$1063,"Not Found!")</f>
        <v>C</v>
      </c>
      <c r="G2006" s="273" t="s">
        <v>147</v>
      </c>
      <c r="H2006" s="273">
        <v>16</v>
      </c>
      <c r="I2006" s="273">
        <v>122</v>
      </c>
      <c r="J2006" s="274">
        <v>20</v>
      </c>
    </row>
    <row r="2007" spans="1:10" ht="18" customHeight="1" x14ac:dyDescent="0.35">
      <c r="A2007" s="274">
        <f>MATCH(B2007,STUDIES!$A$3:$A$502,0)</f>
        <v>86</v>
      </c>
      <c r="B2007" s="272" t="s">
        <v>1686</v>
      </c>
      <c r="D2007" s="232" t="s">
        <v>1692</v>
      </c>
      <c r="E2007" s="272" t="s">
        <v>1268</v>
      </c>
      <c r="F2007" s="155" t="str">
        <f>_xlfn.XLOOKUP(B2007,STUDIES!$A$3:$A$1063,STUDIES!$G$3:$G$1063,"Not Found!")</f>
        <v>C</v>
      </c>
      <c r="G2007" s="273" t="s">
        <v>147</v>
      </c>
      <c r="H2007" s="273">
        <v>16</v>
      </c>
      <c r="I2007" s="273">
        <v>121</v>
      </c>
      <c r="J2007" s="274">
        <v>22</v>
      </c>
    </row>
    <row r="2008" spans="1:10" ht="18" customHeight="1" x14ac:dyDescent="0.35">
      <c r="A2008" s="274">
        <f>MATCH(B2008,STUDIES!$A$3:$A$502,0)</f>
        <v>86</v>
      </c>
      <c r="B2008" s="272" t="s">
        <v>1686</v>
      </c>
      <c r="D2008" s="232" t="s">
        <v>1694</v>
      </c>
      <c r="E2008" s="272" t="s">
        <v>1268</v>
      </c>
      <c r="F2008" s="155" t="str">
        <f>_xlfn.XLOOKUP(B2008,STUDIES!$A$3:$A$1063,STUDIES!$G$3:$G$1063,"Not Found!")</f>
        <v>C</v>
      </c>
      <c r="G2008" s="273" t="s">
        <v>147</v>
      </c>
      <c r="H2008" s="273">
        <v>16</v>
      </c>
      <c r="I2008" s="273">
        <v>120</v>
      </c>
      <c r="J2008" s="274">
        <v>31</v>
      </c>
    </row>
    <row r="2009" spans="1:10" ht="18" customHeight="1" thickBot="1" x14ac:dyDescent="0.4">
      <c r="A2009" s="274">
        <f>MATCH(B2009,STUDIES!$A$3:$A$502,0)</f>
        <v>86</v>
      </c>
      <c r="B2009" s="272" t="s">
        <v>1686</v>
      </c>
      <c r="D2009" s="231" t="s">
        <v>1696</v>
      </c>
      <c r="E2009" s="272" t="s">
        <v>1268</v>
      </c>
      <c r="F2009" s="155" t="str">
        <f>_xlfn.XLOOKUP(B2009,STUDIES!$A$3:$A$1063,STUDIES!$G$3:$G$1063,"Not Found!")</f>
        <v>C</v>
      </c>
      <c r="G2009" s="273" t="s">
        <v>147</v>
      </c>
      <c r="H2009" s="273">
        <v>16</v>
      </c>
      <c r="I2009" s="273">
        <v>120</v>
      </c>
      <c r="J2009" s="274">
        <v>50</v>
      </c>
    </row>
    <row r="2010" spans="1:10" ht="18" customHeight="1" x14ac:dyDescent="0.35">
      <c r="A2010" s="274">
        <f>MATCH(B2010,STUDIES!$A$3:$A$502,0)</f>
        <v>86</v>
      </c>
      <c r="B2010" s="272" t="s">
        <v>1686</v>
      </c>
      <c r="D2010" s="232" t="s">
        <v>148</v>
      </c>
      <c r="E2010" s="272" t="s">
        <v>1243</v>
      </c>
      <c r="F2010" s="155" t="str">
        <f>_xlfn.XLOOKUP(B2010,STUDIES!$A$3:$A$1063,STUDIES!$G$3:$G$1063,"Not Found!")</f>
        <v>C</v>
      </c>
      <c r="G2010" s="273" t="s">
        <v>147</v>
      </c>
      <c r="H2010" s="273">
        <v>16</v>
      </c>
      <c r="I2010" s="273">
        <v>122</v>
      </c>
      <c r="J2010" s="274">
        <v>39</v>
      </c>
    </row>
    <row r="2011" spans="1:10" ht="18" customHeight="1" x14ac:dyDescent="0.35">
      <c r="A2011" s="274">
        <f>MATCH(B2011,STUDIES!$A$3:$A$502,0)</f>
        <v>86</v>
      </c>
      <c r="B2011" s="272" t="s">
        <v>1686</v>
      </c>
      <c r="D2011" s="232" t="s">
        <v>1692</v>
      </c>
      <c r="E2011" s="272" t="s">
        <v>1243</v>
      </c>
      <c r="F2011" s="155" t="str">
        <f>_xlfn.XLOOKUP(B2011,STUDIES!$A$3:$A$1063,STUDIES!$G$3:$G$1063,"Not Found!")</f>
        <v>C</v>
      </c>
      <c r="G2011" s="273" t="s">
        <v>147</v>
      </c>
      <c r="H2011" s="273">
        <v>16</v>
      </c>
      <c r="I2011" s="273">
        <v>121</v>
      </c>
      <c r="J2011" s="274">
        <v>39</v>
      </c>
    </row>
    <row r="2012" spans="1:10" ht="18" customHeight="1" x14ac:dyDescent="0.35">
      <c r="A2012" s="274">
        <f>MATCH(B2012,STUDIES!$A$3:$A$502,0)</f>
        <v>86</v>
      </c>
      <c r="B2012" s="272" t="s">
        <v>1686</v>
      </c>
      <c r="D2012" s="232" t="s">
        <v>1694</v>
      </c>
      <c r="E2012" s="272" t="s">
        <v>1243</v>
      </c>
      <c r="F2012" s="155" t="str">
        <f>_xlfn.XLOOKUP(B2012,STUDIES!$A$3:$A$1063,STUDIES!$G$3:$G$1063,"Not Found!")</f>
        <v>C</v>
      </c>
      <c r="G2012" s="273" t="s">
        <v>147</v>
      </c>
      <c r="H2012" s="273">
        <v>16</v>
      </c>
      <c r="I2012" s="273">
        <v>120</v>
      </c>
      <c r="J2012" s="274">
        <v>48</v>
      </c>
    </row>
    <row r="2013" spans="1:10" ht="18" customHeight="1" thickBot="1" x14ac:dyDescent="0.4">
      <c r="A2013" s="274">
        <f>MATCH(B2013,STUDIES!$A$3:$A$502,0)</f>
        <v>86</v>
      </c>
      <c r="B2013" s="272" t="s">
        <v>1686</v>
      </c>
      <c r="D2013" s="231" t="s">
        <v>1696</v>
      </c>
      <c r="E2013" s="272" t="s">
        <v>1243</v>
      </c>
      <c r="F2013" s="155" t="str">
        <f>_xlfn.XLOOKUP(B2013,STUDIES!$A$3:$A$1063,STUDIES!$G$3:$G$1063,"Not Found!")</f>
        <v>C</v>
      </c>
      <c r="G2013" s="273" t="s">
        <v>147</v>
      </c>
      <c r="H2013" s="273">
        <v>16</v>
      </c>
      <c r="I2013" s="273">
        <v>120</v>
      </c>
      <c r="J2013" s="274">
        <v>63</v>
      </c>
    </row>
    <row r="2014" spans="1:10" ht="18" customHeight="1" x14ac:dyDescent="0.35">
      <c r="A2014" s="274">
        <f>MATCH(B2014,STUDIES!$A$3:$A$502,0)</f>
        <v>86</v>
      </c>
      <c r="B2014" s="272" t="s">
        <v>1686</v>
      </c>
      <c r="D2014" s="232" t="s">
        <v>148</v>
      </c>
      <c r="E2014" s="272" t="s">
        <v>1244</v>
      </c>
      <c r="F2014" s="155" t="str">
        <f>_xlfn.XLOOKUP(B2014,STUDIES!$A$3:$A$1063,STUDIES!$G$3:$G$1063,"Not Found!")</f>
        <v>C</v>
      </c>
      <c r="G2014" s="273" t="s">
        <v>147</v>
      </c>
      <c r="H2014" s="273">
        <v>16</v>
      </c>
      <c r="I2014" s="273">
        <v>122</v>
      </c>
      <c r="J2014" s="274">
        <v>15</v>
      </c>
    </row>
    <row r="2015" spans="1:10" ht="18" customHeight="1" x14ac:dyDescent="0.35">
      <c r="A2015" s="274">
        <f>MATCH(B2015,STUDIES!$A$3:$A$502,0)</f>
        <v>86</v>
      </c>
      <c r="B2015" s="272" t="s">
        <v>1686</v>
      </c>
      <c r="D2015" s="232" t="s">
        <v>1692</v>
      </c>
      <c r="E2015" s="272" t="s">
        <v>1244</v>
      </c>
      <c r="F2015" s="155" t="str">
        <f>_xlfn.XLOOKUP(B2015,STUDIES!$A$3:$A$1063,STUDIES!$G$3:$G$1063,"Not Found!")</f>
        <v>C</v>
      </c>
      <c r="G2015" s="273" t="s">
        <v>147</v>
      </c>
      <c r="H2015" s="273">
        <v>16</v>
      </c>
      <c r="I2015" s="273">
        <v>121</v>
      </c>
      <c r="J2015" s="274">
        <v>14</v>
      </c>
    </row>
    <row r="2016" spans="1:10" ht="18" customHeight="1" x14ac:dyDescent="0.35">
      <c r="A2016" s="274">
        <f>MATCH(B2016,STUDIES!$A$3:$A$502,0)</f>
        <v>86</v>
      </c>
      <c r="B2016" s="272" t="s">
        <v>1686</v>
      </c>
      <c r="D2016" s="232" t="s">
        <v>1694</v>
      </c>
      <c r="E2016" s="272" t="s">
        <v>1244</v>
      </c>
      <c r="F2016" s="155" t="str">
        <f>_xlfn.XLOOKUP(B2016,STUDIES!$A$3:$A$1063,STUDIES!$G$3:$G$1063,"Not Found!")</f>
        <v>C</v>
      </c>
      <c r="G2016" s="273" t="s">
        <v>147</v>
      </c>
      <c r="H2016" s="273">
        <v>16</v>
      </c>
      <c r="I2016" s="273">
        <v>120</v>
      </c>
      <c r="J2016" s="274">
        <v>26</v>
      </c>
    </row>
    <row r="2017" spans="1:26" ht="18" customHeight="1" thickBot="1" x14ac:dyDescent="0.4">
      <c r="A2017" s="274">
        <f>MATCH(B2017,STUDIES!$A$3:$A$502,0)</f>
        <v>86</v>
      </c>
      <c r="B2017" s="272" t="s">
        <v>1686</v>
      </c>
      <c r="D2017" s="231" t="s">
        <v>1696</v>
      </c>
      <c r="E2017" s="272" t="s">
        <v>1244</v>
      </c>
      <c r="F2017" s="155" t="str">
        <f>_xlfn.XLOOKUP(B2017,STUDIES!$A$3:$A$1063,STUDIES!$G$3:$G$1063,"Not Found!")</f>
        <v>C</v>
      </c>
      <c r="G2017" s="273" t="s">
        <v>147</v>
      </c>
      <c r="H2017" s="273">
        <v>16</v>
      </c>
      <c r="I2017" s="273">
        <v>120</v>
      </c>
      <c r="J2017" s="274">
        <v>36</v>
      </c>
    </row>
    <row r="2018" spans="1:26" ht="18" customHeight="1" x14ac:dyDescent="0.35">
      <c r="A2018" s="274">
        <f>MATCH(B2018,STUDIES!$A$3:$A$502,0)</f>
        <v>86</v>
      </c>
      <c r="B2018" s="272" t="s">
        <v>1686</v>
      </c>
      <c r="D2018" s="232" t="s">
        <v>148</v>
      </c>
      <c r="E2018" s="272" t="s">
        <v>151</v>
      </c>
      <c r="F2018" s="155" t="str">
        <f>_xlfn.XLOOKUP(B2018,STUDIES!$A$3:$A$1063,STUDIES!$G$3:$G$1063,"Not Found!")</f>
        <v>C</v>
      </c>
      <c r="G2018" s="273" t="s">
        <v>147</v>
      </c>
      <c r="H2018" s="273">
        <v>16</v>
      </c>
      <c r="I2018" s="273">
        <v>122</v>
      </c>
      <c r="R2018" s="283">
        <v>-14.16</v>
      </c>
      <c r="S2018" s="268">
        <v>1</v>
      </c>
    </row>
    <row r="2019" spans="1:26" ht="18" customHeight="1" x14ac:dyDescent="0.35">
      <c r="A2019" s="274">
        <f>MATCH(B2019,STUDIES!$A$3:$A$502,0)</f>
        <v>86</v>
      </c>
      <c r="B2019" s="272" t="s">
        <v>1686</v>
      </c>
      <c r="D2019" s="232" t="s">
        <v>1692</v>
      </c>
      <c r="E2019" s="272" t="s">
        <v>151</v>
      </c>
      <c r="F2019" s="155" t="str">
        <f>_xlfn.XLOOKUP(B2019,STUDIES!$A$3:$A$1063,STUDIES!$G$3:$G$1063,"Not Found!")</f>
        <v>C</v>
      </c>
      <c r="G2019" s="273" t="s">
        <v>147</v>
      </c>
      <c r="H2019" s="273">
        <v>16</v>
      </c>
      <c r="I2019" s="273">
        <v>121</v>
      </c>
      <c r="R2019" s="283">
        <v>-15.67</v>
      </c>
      <c r="S2019" s="268">
        <v>0.99</v>
      </c>
    </row>
    <row r="2020" spans="1:26" ht="18" customHeight="1" x14ac:dyDescent="0.35">
      <c r="A2020" s="274">
        <f>MATCH(B2020,STUDIES!$A$3:$A$502,0)</f>
        <v>86</v>
      </c>
      <c r="B2020" s="272" t="s">
        <v>1686</v>
      </c>
      <c r="D2020" s="232" t="s">
        <v>1694</v>
      </c>
      <c r="E2020" s="272" t="s">
        <v>151</v>
      </c>
      <c r="F2020" s="155" t="str">
        <f>_xlfn.XLOOKUP(B2020,STUDIES!$A$3:$A$1063,STUDIES!$G$3:$G$1063,"Not Found!")</f>
        <v>C</v>
      </c>
      <c r="G2020" s="273" t="s">
        <v>147</v>
      </c>
      <c r="H2020" s="273">
        <v>16</v>
      </c>
      <c r="I2020" s="273">
        <v>120</v>
      </c>
      <c r="R2020" s="283">
        <v>-15.83</v>
      </c>
      <c r="S2020" s="268">
        <v>0.98</v>
      </c>
    </row>
    <row r="2021" spans="1:26" ht="18" customHeight="1" thickBot="1" x14ac:dyDescent="0.4">
      <c r="A2021" s="274">
        <f>MATCH(B2021,STUDIES!$A$3:$A$502,0)</f>
        <v>86</v>
      </c>
      <c r="B2021" s="272" t="s">
        <v>1686</v>
      </c>
      <c r="D2021" s="231" t="s">
        <v>1696</v>
      </c>
      <c r="E2021" s="272" t="s">
        <v>151</v>
      </c>
      <c r="F2021" s="155" t="str">
        <f>_xlfn.XLOOKUP(B2021,STUDIES!$A$3:$A$1063,STUDIES!$G$3:$G$1063,"Not Found!")</f>
        <v>C</v>
      </c>
      <c r="G2021" s="273" t="s">
        <v>147</v>
      </c>
      <c r="H2021" s="273">
        <v>16</v>
      </c>
      <c r="I2021" s="273">
        <v>120</v>
      </c>
      <c r="R2021" s="283">
        <v>-16.88</v>
      </c>
      <c r="S2021" s="268">
        <v>0.98</v>
      </c>
    </row>
    <row r="2022" spans="1:26" ht="18" customHeight="1" x14ac:dyDescent="0.35">
      <c r="A2022" s="274">
        <f>MATCH(B2022,STUDIES!$A$3:$A$502,0)</f>
        <v>86</v>
      </c>
      <c r="B2022" s="272" t="s">
        <v>1686</v>
      </c>
      <c r="D2022" s="232" t="s">
        <v>148</v>
      </c>
      <c r="E2022" s="272" t="s">
        <v>153</v>
      </c>
      <c r="F2022" s="155" t="str">
        <f>_xlfn.XLOOKUP(B2022,STUDIES!$A$3:$A$1063,STUDIES!$G$3:$G$1063,"Not Found!")</f>
        <v>C</v>
      </c>
      <c r="G2022" s="273" t="s">
        <v>147</v>
      </c>
      <c r="H2022" s="273">
        <v>16</v>
      </c>
      <c r="I2022" s="273">
        <v>105</v>
      </c>
      <c r="K2022" s="268">
        <v>14.5</v>
      </c>
      <c r="M2022" s="268">
        <v>6.8</v>
      </c>
      <c r="X2022" s="276">
        <v>10.7</v>
      </c>
      <c r="Z2022" s="268">
        <v>7.1</v>
      </c>
    </row>
    <row r="2023" spans="1:26" ht="18" customHeight="1" x14ac:dyDescent="0.35">
      <c r="A2023" s="274">
        <f>MATCH(B2023,STUDIES!$A$3:$A$502,0)</f>
        <v>86</v>
      </c>
      <c r="B2023" s="272" t="s">
        <v>1686</v>
      </c>
      <c r="D2023" s="232" t="s">
        <v>1692</v>
      </c>
      <c r="E2023" s="272" t="s">
        <v>153</v>
      </c>
      <c r="F2023" s="155" t="str">
        <f>_xlfn.XLOOKUP(B2023,STUDIES!$A$3:$A$1063,STUDIES!$G$3:$G$1063,"Not Found!")</f>
        <v>C</v>
      </c>
      <c r="G2023" s="273" t="s">
        <v>147</v>
      </c>
      <c r="H2023" s="273">
        <v>16</v>
      </c>
      <c r="I2023" s="273">
        <v>108</v>
      </c>
      <c r="K2023" s="268">
        <v>15.5</v>
      </c>
      <c r="M2023" s="268">
        <v>7.1</v>
      </c>
      <c r="X2023" s="276">
        <v>10.8</v>
      </c>
      <c r="Z2023" s="268">
        <v>7.5</v>
      </c>
    </row>
    <row r="2024" spans="1:26" ht="18" customHeight="1" x14ac:dyDescent="0.35">
      <c r="A2024" s="274">
        <f>MATCH(B2024,STUDIES!$A$3:$A$502,0)</f>
        <v>86</v>
      </c>
      <c r="B2024" s="272" t="s">
        <v>1686</v>
      </c>
      <c r="D2024" s="232" t="s">
        <v>1694</v>
      </c>
      <c r="E2024" s="272" t="s">
        <v>153</v>
      </c>
      <c r="F2024" s="155" t="str">
        <f>_xlfn.XLOOKUP(B2024,STUDIES!$A$3:$A$1063,STUDIES!$G$3:$G$1063,"Not Found!")</f>
        <v>C</v>
      </c>
      <c r="G2024" s="273" t="s">
        <v>147</v>
      </c>
      <c r="H2024" s="273">
        <v>16</v>
      </c>
      <c r="I2024" s="273">
        <v>112</v>
      </c>
      <c r="K2024" s="268">
        <v>15.7</v>
      </c>
      <c r="M2024" s="268">
        <v>7.2</v>
      </c>
      <c r="X2024" s="276">
        <v>10</v>
      </c>
      <c r="Z2024" s="268">
        <v>8.3000000000000007</v>
      </c>
    </row>
    <row r="2025" spans="1:26" ht="18" customHeight="1" thickBot="1" x14ac:dyDescent="0.4">
      <c r="A2025" s="274">
        <f>MATCH(B2025,STUDIES!$A$3:$A$502,0)</f>
        <v>86</v>
      </c>
      <c r="B2025" s="272" t="s">
        <v>1686</v>
      </c>
      <c r="D2025" s="231" t="s">
        <v>1696</v>
      </c>
      <c r="E2025" s="272" t="s">
        <v>153</v>
      </c>
      <c r="F2025" s="155" t="str">
        <f>_xlfn.XLOOKUP(B2025,STUDIES!$A$3:$A$1063,STUDIES!$G$3:$G$1063,"Not Found!")</f>
        <v>C</v>
      </c>
      <c r="G2025" s="273" t="s">
        <v>147</v>
      </c>
      <c r="H2025" s="273">
        <v>16</v>
      </c>
      <c r="I2025" s="273">
        <v>114</v>
      </c>
      <c r="K2025" s="268">
        <v>15.1</v>
      </c>
      <c r="M2025" s="268">
        <v>6.9</v>
      </c>
      <c r="X2025" s="276">
        <v>9.9</v>
      </c>
      <c r="Z2025" s="268">
        <v>7.6</v>
      </c>
    </row>
    <row r="2026" spans="1:26" ht="18" customHeight="1" x14ac:dyDescent="0.35">
      <c r="A2026" s="274">
        <f>MATCH(B2026,STUDIES!$A$3:$A$502,0)</f>
        <v>86</v>
      </c>
      <c r="B2026" s="272" t="s">
        <v>1686</v>
      </c>
      <c r="D2026" s="232" t="s">
        <v>148</v>
      </c>
      <c r="E2026" s="272" t="s">
        <v>1700</v>
      </c>
      <c r="F2026" s="155" t="str">
        <f>_xlfn.XLOOKUP(B2026,STUDIES!$A$3:$A$1063,STUDIES!$G$3:$G$1063,"Not Found!")</f>
        <v>C</v>
      </c>
      <c r="G2026" s="273" t="s">
        <v>147</v>
      </c>
      <c r="H2026" s="273">
        <v>16</v>
      </c>
      <c r="I2026" s="273">
        <v>98</v>
      </c>
      <c r="K2026" s="268">
        <v>8.4</v>
      </c>
      <c r="M2026" s="268">
        <v>5.5</v>
      </c>
      <c r="X2026" s="276">
        <v>5.4</v>
      </c>
      <c r="Z2026" s="268">
        <v>4.7</v>
      </c>
    </row>
    <row r="2027" spans="1:26" ht="18" customHeight="1" x14ac:dyDescent="0.35">
      <c r="A2027" s="274">
        <f>MATCH(B2027,STUDIES!$A$3:$A$502,0)</f>
        <v>86</v>
      </c>
      <c r="B2027" s="272" t="s">
        <v>1686</v>
      </c>
      <c r="D2027" s="232" t="s">
        <v>1692</v>
      </c>
      <c r="E2027" s="272" t="s">
        <v>1700</v>
      </c>
      <c r="F2027" s="155" t="str">
        <f>_xlfn.XLOOKUP(B2027,STUDIES!$A$3:$A$1063,STUDIES!$G$3:$G$1063,"Not Found!")</f>
        <v>C</v>
      </c>
      <c r="G2027" s="273" t="s">
        <v>147</v>
      </c>
      <c r="H2027" s="273">
        <v>16</v>
      </c>
      <c r="I2027" s="273">
        <v>106</v>
      </c>
      <c r="K2027" s="268">
        <v>9.3000000000000007</v>
      </c>
      <c r="M2027" s="268">
        <v>6.5</v>
      </c>
      <c r="X2027" s="276">
        <v>5.6</v>
      </c>
      <c r="Z2027" s="268">
        <v>4.9000000000000004</v>
      </c>
    </row>
    <row r="2028" spans="1:26" ht="18" customHeight="1" x14ac:dyDescent="0.35">
      <c r="A2028" s="274">
        <f>MATCH(B2028,STUDIES!$A$3:$A$502,0)</f>
        <v>86</v>
      </c>
      <c r="B2028" s="272" t="s">
        <v>1686</v>
      </c>
      <c r="D2028" s="232" t="s">
        <v>1694</v>
      </c>
      <c r="E2028" s="272" t="s">
        <v>1700</v>
      </c>
      <c r="F2028" s="155" t="str">
        <f>_xlfn.XLOOKUP(B2028,STUDIES!$A$3:$A$1063,STUDIES!$G$3:$G$1063,"Not Found!")</f>
        <v>C</v>
      </c>
      <c r="G2028" s="273" t="s">
        <v>147</v>
      </c>
      <c r="H2028" s="273">
        <v>16</v>
      </c>
      <c r="I2028" s="273">
        <v>111</v>
      </c>
      <c r="K2028" s="268">
        <v>9.3000000000000007</v>
      </c>
      <c r="M2028" s="268">
        <v>6.5</v>
      </c>
      <c r="X2028" s="276">
        <v>5.0999999999999996</v>
      </c>
      <c r="Z2028" s="268">
        <v>4.2</v>
      </c>
    </row>
    <row r="2029" spans="1:26" ht="18" customHeight="1" thickBot="1" x14ac:dyDescent="0.4">
      <c r="A2029" s="274">
        <f>MATCH(B2029,STUDIES!$A$3:$A$502,0)</f>
        <v>86</v>
      </c>
      <c r="B2029" s="272" t="s">
        <v>1686</v>
      </c>
      <c r="D2029" s="231" t="s">
        <v>1696</v>
      </c>
      <c r="E2029" s="272" t="s">
        <v>1700</v>
      </c>
      <c r="F2029" s="155" t="str">
        <f>_xlfn.XLOOKUP(B2029,STUDIES!$A$3:$A$1063,STUDIES!$G$3:$G$1063,"Not Found!")</f>
        <v>C</v>
      </c>
      <c r="G2029" s="273" t="s">
        <v>147</v>
      </c>
      <c r="H2029" s="273">
        <v>16</v>
      </c>
      <c r="I2029" s="273">
        <v>113</v>
      </c>
      <c r="K2029" s="268">
        <v>8.6999999999999993</v>
      </c>
      <c r="M2029" s="268">
        <v>6.3</v>
      </c>
      <c r="X2029" s="276">
        <v>5.0999999999999996</v>
      </c>
      <c r="Z2029" s="268">
        <v>5.5</v>
      </c>
    </row>
    <row r="2030" spans="1:26" ht="18" customHeight="1" x14ac:dyDescent="0.35">
      <c r="A2030" s="274">
        <f>MATCH(B2030,STUDIES!$A$3:$A$502,0)</f>
        <v>86</v>
      </c>
      <c r="B2030" s="272" t="s">
        <v>1686</v>
      </c>
      <c r="D2030" s="232" t="s">
        <v>148</v>
      </c>
      <c r="E2030" s="272" t="s">
        <v>1579</v>
      </c>
      <c r="F2030" s="155" t="str">
        <f>_xlfn.XLOOKUP(B2030,STUDIES!$A$3:$A$1063,STUDIES!$G$3:$G$1063,"Not Found!")</f>
        <v>C</v>
      </c>
      <c r="G2030" s="273" t="s">
        <v>147</v>
      </c>
      <c r="H2030" s="273">
        <v>16</v>
      </c>
      <c r="I2030" s="273">
        <v>5</v>
      </c>
      <c r="K2030" s="268">
        <v>14.3</v>
      </c>
      <c r="M2030" s="268">
        <v>7.3</v>
      </c>
      <c r="X2030" s="276">
        <v>11.4</v>
      </c>
      <c r="Z2030" s="268">
        <v>9.9</v>
      </c>
    </row>
    <row r="2031" spans="1:26" ht="18" customHeight="1" x14ac:dyDescent="0.35">
      <c r="A2031" s="274">
        <f>MATCH(B2031,STUDIES!$A$3:$A$502,0)</f>
        <v>86</v>
      </c>
      <c r="B2031" s="272" t="s">
        <v>1686</v>
      </c>
      <c r="D2031" s="232" t="s">
        <v>1692</v>
      </c>
      <c r="E2031" s="272" t="s">
        <v>1579</v>
      </c>
      <c r="F2031" s="155" t="str">
        <f>_xlfn.XLOOKUP(B2031,STUDIES!$A$3:$A$1063,STUDIES!$G$3:$G$1063,"Not Found!")</f>
        <v>C</v>
      </c>
      <c r="G2031" s="273" t="s">
        <v>147</v>
      </c>
      <c r="H2031" s="273">
        <v>16</v>
      </c>
      <c r="I2031" s="273">
        <v>2</v>
      </c>
      <c r="K2031" s="268">
        <v>23</v>
      </c>
      <c r="M2031" s="268">
        <v>3.6</v>
      </c>
      <c r="X2031" s="276">
        <v>17</v>
      </c>
      <c r="Z2031" s="268">
        <v>2.8</v>
      </c>
    </row>
    <row r="2032" spans="1:26" ht="18" customHeight="1" x14ac:dyDescent="0.35">
      <c r="A2032" s="274">
        <f>MATCH(B2032,STUDIES!$A$3:$A$502,0)</f>
        <v>86</v>
      </c>
      <c r="B2032" s="272" t="s">
        <v>1686</v>
      </c>
      <c r="D2032" s="232" t="s">
        <v>1694</v>
      </c>
      <c r="E2032" s="272" t="s">
        <v>1579</v>
      </c>
      <c r="F2032" s="155" t="str">
        <f>_xlfn.XLOOKUP(B2032,STUDIES!$A$3:$A$1063,STUDIES!$G$3:$G$1063,"Not Found!")</f>
        <v>C</v>
      </c>
      <c r="G2032" s="273" t="s">
        <v>147</v>
      </c>
      <c r="H2032" s="273">
        <v>16</v>
      </c>
      <c r="I2032" s="273">
        <v>1</v>
      </c>
      <c r="K2032" s="268">
        <v>10</v>
      </c>
      <c r="X2032" s="276">
        <v>11</v>
      </c>
    </row>
    <row r="2033" spans="1:26" ht="18" customHeight="1" thickBot="1" x14ac:dyDescent="0.4">
      <c r="A2033" s="274">
        <f>MATCH(B2033,STUDIES!$A$3:$A$502,0)</f>
        <v>86</v>
      </c>
      <c r="B2033" s="272" t="s">
        <v>1686</v>
      </c>
      <c r="D2033" s="231" t="s">
        <v>1696</v>
      </c>
      <c r="E2033" s="272" t="s">
        <v>1579</v>
      </c>
      <c r="F2033" s="155" t="str">
        <f>_xlfn.XLOOKUP(B2033,STUDIES!$A$3:$A$1063,STUDIES!$G$3:$G$1063,"Not Found!")</f>
        <v>C</v>
      </c>
      <c r="G2033" s="273" t="s">
        <v>147</v>
      </c>
      <c r="H2033" s="273">
        <v>16</v>
      </c>
      <c r="I2033" s="273">
        <v>1</v>
      </c>
      <c r="K2033" s="268">
        <v>11</v>
      </c>
      <c r="M2033" s="268">
        <v>1.4</v>
      </c>
      <c r="X2033" s="276">
        <v>3</v>
      </c>
    </row>
    <row r="2034" spans="1:26" ht="18" customHeight="1" x14ac:dyDescent="0.35">
      <c r="A2034" s="274">
        <f>MATCH(B2034,STUDIES!$A$3:$A$502,0)</f>
        <v>86</v>
      </c>
      <c r="B2034" s="272" t="s">
        <v>1686</v>
      </c>
      <c r="D2034" s="232" t="s">
        <v>148</v>
      </c>
      <c r="E2034" s="272" t="s">
        <v>695</v>
      </c>
      <c r="F2034" s="155" t="str">
        <f>_xlfn.XLOOKUP(B2034,STUDIES!$A$3:$A$1063,STUDIES!$G$3:$G$1063,"Not Found!")</f>
        <v>C</v>
      </c>
      <c r="G2034" s="273" t="s">
        <v>147</v>
      </c>
      <c r="H2034" s="273">
        <v>16</v>
      </c>
      <c r="I2034" s="273">
        <v>66</v>
      </c>
      <c r="K2034" s="268">
        <v>4.9000000000000004</v>
      </c>
      <c r="M2034" s="268">
        <v>2.5</v>
      </c>
      <c r="X2034" s="276">
        <v>4</v>
      </c>
      <c r="Z2034" s="268">
        <v>2.9</v>
      </c>
    </row>
    <row r="2035" spans="1:26" ht="18" customHeight="1" x14ac:dyDescent="0.35">
      <c r="A2035" s="274">
        <f>MATCH(B2035,STUDIES!$A$3:$A$502,0)</f>
        <v>86</v>
      </c>
      <c r="B2035" s="272" t="s">
        <v>1686</v>
      </c>
      <c r="D2035" s="232" t="s">
        <v>1692</v>
      </c>
      <c r="E2035" s="272" t="s">
        <v>695</v>
      </c>
      <c r="F2035" s="155" t="str">
        <f>_xlfn.XLOOKUP(B2035,STUDIES!$A$3:$A$1063,STUDIES!$G$3:$G$1063,"Not Found!")</f>
        <v>C</v>
      </c>
      <c r="G2035" s="273" t="s">
        <v>147</v>
      </c>
      <c r="H2035" s="273">
        <v>16</v>
      </c>
      <c r="I2035" s="273">
        <v>69</v>
      </c>
      <c r="K2035" s="268">
        <v>5.7</v>
      </c>
      <c r="M2035" s="268">
        <v>2.4</v>
      </c>
      <c r="X2035" s="276">
        <v>3.4</v>
      </c>
      <c r="Z2035" s="268">
        <v>2.4</v>
      </c>
    </row>
    <row r="2036" spans="1:26" ht="18" customHeight="1" x14ac:dyDescent="0.35">
      <c r="A2036" s="274">
        <f>MATCH(B2036,STUDIES!$A$3:$A$502,0)</f>
        <v>86</v>
      </c>
      <c r="B2036" s="272" t="s">
        <v>1686</v>
      </c>
      <c r="D2036" s="232" t="s">
        <v>1694</v>
      </c>
      <c r="E2036" s="272" t="s">
        <v>695</v>
      </c>
      <c r="F2036" s="155" t="str">
        <f>_xlfn.XLOOKUP(B2036,STUDIES!$A$3:$A$1063,STUDIES!$G$3:$G$1063,"Not Found!")</f>
        <v>C</v>
      </c>
      <c r="G2036" s="273" t="s">
        <v>147</v>
      </c>
      <c r="H2036" s="273">
        <v>16</v>
      </c>
      <c r="I2036" s="273">
        <v>78</v>
      </c>
      <c r="K2036" s="268">
        <v>5.7</v>
      </c>
      <c r="M2036" s="268">
        <v>2.6</v>
      </c>
      <c r="X2036" s="276">
        <v>3.9</v>
      </c>
      <c r="Z2036" s="268">
        <v>2.7</v>
      </c>
    </row>
    <row r="2037" spans="1:26" ht="18" customHeight="1" thickBot="1" x14ac:dyDescent="0.4">
      <c r="A2037" s="274">
        <f>MATCH(B2037,STUDIES!$A$3:$A$502,0)</f>
        <v>86</v>
      </c>
      <c r="B2037" s="272" t="s">
        <v>1686</v>
      </c>
      <c r="D2037" s="231" t="s">
        <v>1696</v>
      </c>
      <c r="E2037" s="272" t="s">
        <v>695</v>
      </c>
      <c r="F2037" s="155" t="str">
        <f>_xlfn.XLOOKUP(B2037,STUDIES!$A$3:$A$1063,STUDIES!$G$3:$G$1063,"Not Found!")</f>
        <v>C</v>
      </c>
      <c r="G2037" s="273" t="s">
        <v>147</v>
      </c>
      <c r="H2037" s="273">
        <v>16</v>
      </c>
      <c r="I2037" s="273">
        <v>79</v>
      </c>
      <c r="K2037" s="268">
        <v>5.7</v>
      </c>
      <c r="M2037" s="268">
        <v>2.7</v>
      </c>
      <c r="X2037" s="276">
        <v>3.3</v>
      </c>
      <c r="Z2037" s="268">
        <v>2.6</v>
      </c>
    </row>
    <row r="2038" spans="1:26" ht="18" customHeight="1" x14ac:dyDescent="0.35">
      <c r="A2038" s="274">
        <f>MATCH(B2038,STUDIES!$A$3:$A$502,0)</f>
        <v>86</v>
      </c>
      <c r="B2038" s="272" t="s">
        <v>1686</v>
      </c>
      <c r="D2038" s="232" t="s">
        <v>148</v>
      </c>
      <c r="E2038" s="272" t="s">
        <v>1258</v>
      </c>
      <c r="F2038" s="155" t="str">
        <f>_xlfn.XLOOKUP(B2038,STUDIES!$A$3:$A$1063,STUDIES!$G$3:$G$1063,"Not Found!")</f>
        <v>C</v>
      </c>
      <c r="G2038" s="273" t="s">
        <v>147</v>
      </c>
      <c r="H2038" s="273">
        <v>16</v>
      </c>
      <c r="I2038" s="273">
        <v>122</v>
      </c>
      <c r="J2038" s="274">
        <f>0.557*I2038</f>
        <v>67.954000000000008</v>
      </c>
    </row>
    <row r="2039" spans="1:26" ht="18" customHeight="1" x14ac:dyDescent="0.35">
      <c r="A2039" s="274">
        <f>MATCH(B2039,STUDIES!$A$3:$A$502,0)</f>
        <v>86</v>
      </c>
      <c r="B2039" s="272" t="s">
        <v>1686</v>
      </c>
      <c r="D2039" s="232" t="s">
        <v>1692</v>
      </c>
      <c r="E2039" s="272" t="s">
        <v>1258</v>
      </c>
      <c r="F2039" s="155" t="str">
        <f>_xlfn.XLOOKUP(B2039,STUDIES!$A$3:$A$1063,STUDIES!$G$3:$G$1063,"Not Found!")</f>
        <v>C</v>
      </c>
      <c r="G2039" s="273" t="s">
        <v>147</v>
      </c>
      <c r="H2039" s="273">
        <v>16</v>
      </c>
      <c r="I2039" s="273">
        <v>121</v>
      </c>
      <c r="J2039" s="274">
        <f>0.595*I2039</f>
        <v>71.99499999999999</v>
      </c>
    </row>
    <row r="2040" spans="1:26" ht="18" customHeight="1" x14ac:dyDescent="0.35">
      <c r="A2040" s="274">
        <f>MATCH(B2040,STUDIES!$A$3:$A$502,0)</f>
        <v>86</v>
      </c>
      <c r="B2040" s="272" t="s">
        <v>1686</v>
      </c>
      <c r="D2040" s="232" t="s">
        <v>1694</v>
      </c>
      <c r="E2040" s="272" t="s">
        <v>1258</v>
      </c>
      <c r="F2040" s="155" t="str">
        <f>_xlfn.XLOOKUP(B2040,STUDIES!$A$3:$A$1063,STUDIES!$G$3:$G$1063,"Not Found!")</f>
        <v>C</v>
      </c>
      <c r="G2040" s="273" t="s">
        <v>147</v>
      </c>
      <c r="H2040" s="273">
        <v>16</v>
      </c>
      <c r="I2040" s="273">
        <v>120</v>
      </c>
      <c r="J2040" s="274">
        <f>0.608*I2040</f>
        <v>72.959999999999994</v>
      </c>
    </row>
    <row r="2041" spans="1:26" ht="18" customHeight="1" thickBot="1" x14ac:dyDescent="0.4">
      <c r="A2041" s="274">
        <f>MATCH(B2041,STUDIES!$A$3:$A$502,0)</f>
        <v>86</v>
      </c>
      <c r="B2041" s="272" t="s">
        <v>1686</v>
      </c>
      <c r="D2041" s="231" t="s">
        <v>1696</v>
      </c>
      <c r="E2041" s="272" t="s">
        <v>1258</v>
      </c>
      <c r="F2041" s="155" t="str">
        <f>_xlfn.XLOOKUP(B2041,STUDIES!$A$3:$A$1063,STUDIES!$G$3:$G$1063,"Not Found!")</f>
        <v>C</v>
      </c>
      <c r="G2041" s="273" t="s">
        <v>147</v>
      </c>
      <c r="H2041" s="273">
        <v>16</v>
      </c>
      <c r="I2041" s="273">
        <v>120</v>
      </c>
      <c r="J2041" s="274">
        <f>0.717*I2041</f>
        <v>86.039999999999992</v>
      </c>
    </row>
    <row r="2042" spans="1:26" ht="18" customHeight="1" x14ac:dyDescent="0.35">
      <c r="A2042" s="274">
        <f>MATCH(B2042,STUDIES!$A$3:$A$502,0)</f>
        <v>86</v>
      </c>
      <c r="B2042" s="272" t="s">
        <v>1686</v>
      </c>
      <c r="D2042" s="232" t="s">
        <v>148</v>
      </c>
      <c r="E2042" s="272" t="s">
        <v>1163</v>
      </c>
      <c r="F2042" s="155" t="str">
        <f>_xlfn.XLOOKUP(B2042,STUDIES!$A$3:$A$1063,STUDIES!$G$3:$G$1063,"Not Found!")</f>
        <v>C</v>
      </c>
      <c r="G2042" s="273" t="s">
        <v>147</v>
      </c>
      <c r="H2042" s="273">
        <v>16</v>
      </c>
      <c r="I2042" s="273">
        <v>122</v>
      </c>
      <c r="J2042" s="274">
        <v>5</v>
      </c>
    </row>
    <row r="2043" spans="1:26" ht="18" customHeight="1" x14ac:dyDescent="0.35">
      <c r="A2043" s="274">
        <f>MATCH(B2043,STUDIES!$A$3:$A$502,0)</f>
        <v>86</v>
      </c>
      <c r="B2043" s="272" t="s">
        <v>1686</v>
      </c>
      <c r="D2043" s="232" t="s">
        <v>1692</v>
      </c>
      <c r="E2043" s="272" t="s">
        <v>1163</v>
      </c>
      <c r="F2043" s="155" t="str">
        <f>_xlfn.XLOOKUP(B2043,STUDIES!$A$3:$A$1063,STUDIES!$G$3:$G$1063,"Not Found!")</f>
        <v>C</v>
      </c>
      <c r="G2043" s="273" t="s">
        <v>147</v>
      </c>
      <c r="H2043" s="273">
        <v>16</v>
      </c>
      <c r="I2043" s="273">
        <v>120</v>
      </c>
      <c r="J2043" s="274">
        <v>2</v>
      </c>
    </row>
    <row r="2044" spans="1:26" ht="18" customHeight="1" x14ac:dyDescent="0.35">
      <c r="A2044" s="274">
        <f>MATCH(B2044,STUDIES!$A$3:$A$502,0)</f>
        <v>86</v>
      </c>
      <c r="B2044" s="272" t="s">
        <v>1686</v>
      </c>
      <c r="D2044" s="232" t="s">
        <v>1694</v>
      </c>
      <c r="E2044" s="272" t="s">
        <v>1163</v>
      </c>
      <c r="F2044" s="155" t="str">
        <f>_xlfn.XLOOKUP(B2044,STUDIES!$A$3:$A$1063,STUDIES!$G$3:$G$1063,"Not Found!")</f>
        <v>C</v>
      </c>
      <c r="G2044" s="273" t="s">
        <v>147</v>
      </c>
      <c r="H2044" s="273">
        <v>16</v>
      </c>
      <c r="I2044" s="273">
        <v>120</v>
      </c>
      <c r="J2044" s="274">
        <v>1</v>
      </c>
    </row>
    <row r="2045" spans="1:26" ht="18" customHeight="1" thickBot="1" x14ac:dyDescent="0.4">
      <c r="A2045" s="274">
        <f>MATCH(B2045,STUDIES!$A$3:$A$502,0)</f>
        <v>86</v>
      </c>
      <c r="B2045" s="272" t="s">
        <v>1686</v>
      </c>
      <c r="D2045" s="231" t="s">
        <v>1696</v>
      </c>
      <c r="E2045" s="272" t="s">
        <v>1163</v>
      </c>
      <c r="F2045" s="155" t="str">
        <f>_xlfn.XLOOKUP(B2045,STUDIES!$A$3:$A$1063,STUDIES!$G$3:$G$1063,"Not Found!")</f>
        <v>C</v>
      </c>
      <c r="G2045" s="273" t="s">
        <v>147</v>
      </c>
      <c r="H2045" s="273">
        <v>16</v>
      </c>
      <c r="I2045" s="273">
        <v>120</v>
      </c>
      <c r="J2045" s="274">
        <v>1</v>
      </c>
    </row>
    <row r="2046" spans="1:26" ht="18" customHeight="1" x14ac:dyDescent="0.35">
      <c r="A2046" s="274">
        <f>MATCH(B2046,STUDIES!$A$3:$A$502,0)</f>
        <v>86</v>
      </c>
      <c r="B2046" s="272" t="s">
        <v>1686</v>
      </c>
      <c r="D2046" s="232" t="s">
        <v>148</v>
      </c>
      <c r="E2046" s="272" t="s">
        <v>1167</v>
      </c>
      <c r="F2046" s="155" t="str">
        <f>_xlfn.XLOOKUP(B2046,STUDIES!$A$3:$A$1063,STUDIES!$G$3:$G$1063,"Not Found!")</f>
        <v>C</v>
      </c>
      <c r="G2046" s="273" t="s">
        <v>147</v>
      </c>
      <c r="H2046" s="273">
        <v>16</v>
      </c>
      <c r="I2046" s="273">
        <v>122</v>
      </c>
      <c r="J2046" s="274">
        <v>2</v>
      </c>
    </row>
    <row r="2047" spans="1:26" ht="18" customHeight="1" x14ac:dyDescent="0.35">
      <c r="A2047" s="274">
        <f>MATCH(B2047,STUDIES!$A$3:$A$502,0)</f>
        <v>86</v>
      </c>
      <c r="B2047" s="272" t="s">
        <v>1686</v>
      </c>
      <c r="D2047" s="232" t="s">
        <v>1692</v>
      </c>
      <c r="E2047" s="272" t="s">
        <v>1167</v>
      </c>
      <c r="F2047" s="155" t="str">
        <f>_xlfn.XLOOKUP(B2047,STUDIES!$A$3:$A$1063,STUDIES!$G$3:$G$1063,"Not Found!")</f>
        <v>C</v>
      </c>
      <c r="G2047" s="273" t="s">
        <v>147</v>
      </c>
      <c r="H2047" s="273">
        <v>16</v>
      </c>
      <c r="I2047" s="273">
        <v>120</v>
      </c>
      <c r="J2047" s="274">
        <v>1</v>
      </c>
    </row>
    <row r="2048" spans="1:26" ht="18" customHeight="1" x14ac:dyDescent="0.35">
      <c r="A2048" s="274">
        <f>MATCH(B2048,STUDIES!$A$3:$A$502,0)</f>
        <v>86</v>
      </c>
      <c r="B2048" s="272" t="s">
        <v>1686</v>
      </c>
      <c r="D2048" s="232" t="s">
        <v>1694</v>
      </c>
      <c r="E2048" s="272" t="s">
        <v>1167</v>
      </c>
      <c r="F2048" s="155" t="str">
        <f>_xlfn.XLOOKUP(B2048,STUDIES!$A$3:$A$1063,STUDIES!$G$3:$G$1063,"Not Found!")</f>
        <v>C</v>
      </c>
      <c r="G2048" s="273" t="s">
        <v>147</v>
      </c>
      <c r="H2048" s="273">
        <v>16</v>
      </c>
      <c r="I2048" s="273">
        <v>120</v>
      </c>
      <c r="J2048" s="274">
        <v>0</v>
      </c>
    </row>
    <row r="2049" spans="1:47" ht="18" customHeight="1" thickBot="1" x14ac:dyDescent="0.4">
      <c r="A2049" s="274">
        <f>MATCH(B2049,STUDIES!$A$3:$A$502,0)</f>
        <v>86</v>
      </c>
      <c r="B2049" s="272" t="s">
        <v>1686</v>
      </c>
      <c r="D2049" s="231" t="s">
        <v>1696</v>
      </c>
      <c r="E2049" s="272" t="s">
        <v>1167</v>
      </c>
      <c r="F2049" s="155" t="str">
        <f>_xlfn.XLOOKUP(B2049,STUDIES!$A$3:$A$1063,STUDIES!$G$3:$G$1063,"Not Found!")</f>
        <v>C</v>
      </c>
      <c r="G2049" s="273" t="s">
        <v>147</v>
      </c>
      <c r="H2049" s="273">
        <v>16</v>
      </c>
      <c r="I2049" s="273">
        <v>120</v>
      </c>
      <c r="J2049" s="274">
        <v>1</v>
      </c>
    </row>
    <row r="2050" spans="1:47" ht="18" customHeight="1" x14ac:dyDescent="0.35">
      <c r="A2050">
        <f>MATCH(B2050,STUDIES!$A$3:$A$502,0)</f>
        <v>72</v>
      </c>
      <c r="B2050" t="s">
        <v>1717</v>
      </c>
      <c r="C2050" s="456"/>
      <c r="D2050" t="s">
        <v>1056</v>
      </c>
      <c r="E2050" t="s">
        <v>151</v>
      </c>
      <c r="F2050" s="456" t="str">
        <f>_xlfn.XLOOKUP(B2050,STUDIES!$A$3:$A$1063,STUDIES!$G$3:$G$1063,"Not Found!")</f>
        <v>A</v>
      </c>
      <c r="G2050" s="456" t="s">
        <v>147</v>
      </c>
      <c r="H2050">
        <v>12</v>
      </c>
      <c r="I2050">
        <v>109</v>
      </c>
      <c r="J2050"/>
      <c r="K2050">
        <v>26.2</v>
      </c>
      <c r="L2050"/>
      <c r="M2050">
        <v>11.9</v>
      </c>
      <c r="N2050"/>
      <c r="O2050"/>
      <c r="P2050"/>
      <c r="Q2050"/>
      <c r="R2050"/>
      <c r="S2050"/>
      <c r="T2050"/>
      <c r="U2050"/>
      <c r="V2050"/>
      <c r="W2050"/>
      <c r="X2050">
        <v>6.1</v>
      </c>
      <c r="Y2050"/>
      <c r="Z2050">
        <v>7.4</v>
      </c>
      <c r="AA2050"/>
      <c r="AB2050"/>
      <c r="AC2050"/>
      <c r="AD2050"/>
      <c r="AE2050"/>
      <c r="AF2050"/>
      <c r="AG2050"/>
      <c r="AH2050"/>
      <c r="AI2050"/>
      <c r="AJ2050"/>
      <c r="AK2050"/>
      <c r="AL2050"/>
      <c r="AM2050"/>
      <c r="AN2050"/>
      <c r="AO2050"/>
      <c r="AP2050"/>
      <c r="AQ2050"/>
      <c r="AR2050"/>
      <c r="AS2050"/>
      <c r="AT2050"/>
      <c r="AU2050"/>
    </row>
    <row r="2051" spans="1:47" ht="18" customHeight="1" x14ac:dyDescent="0.35">
      <c r="A2051">
        <f>MATCH(B2051,STUDIES!$A$3:$A$502,0)</f>
        <v>72</v>
      </c>
      <c r="B2051" t="s">
        <v>1717</v>
      </c>
      <c r="C2051" s="456"/>
      <c r="D2051" t="s">
        <v>148</v>
      </c>
      <c r="E2051" t="s">
        <v>151</v>
      </c>
      <c r="F2051" s="456" t="str">
        <f>_xlfn.XLOOKUP(B2051,STUDIES!$A$3:$A$1063,STUDIES!$G$3:$G$1063,"Not Found!")</f>
        <v>A</v>
      </c>
      <c r="G2051" s="456" t="s">
        <v>147</v>
      </c>
      <c r="H2051">
        <v>12</v>
      </c>
      <c r="I2051">
        <v>48</v>
      </c>
      <c r="J2051"/>
      <c r="K2051">
        <v>26</v>
      </c>
      <c r="L2051"/>
      <c r="M2051">
        <v>9.9</v>
      </c>
      <c r="N2051"/>
      <c r="O2051"/>
      <c r="P2051"/>
      <c r="Q2051"/>
      <c r="R2051"/>
      <c r="S2051"/>
      <c r="T2051"/>
      <c r="U2051"/>
      <c r="V2051"/>
      <c r="W2051"/>
      <c r="X2051">
        <v>12.8</v>
      </c>
      <c r="Y2051"/>
      <c r="Z2051">
        <v>10.3</v>
      </c>
      <c r="AA2051"/>
      <c r="AB2051"/>
      <c r="AC2051"/>
      <c r="AD2051"/>
      <c r="AE2051"/>
      <c r="AF2051"/>
      <c r="AG2051"/>
      <c r="AH2051"/>
      <c r="AI2051"/>
      <c r="AJ2051"/>
      <c r="AK2051"/>
      <c r="AL2051"/>
      <c r="AM2051"/>
      <c r="AN2051"/>
      <c r="AO2051"/>
      <c r="AP2051"/>
      <c r="AQ2051"/>
      <c r="AR2051"/>
      <c r="AS2051"/>
      <c r="AT2051"/>
      <c r="AU2051"/>
    </row>
    <row r="2052" spans="1:47" ht="18" customHeight="1" x14ac:dyDescent="0.35">
      <c r="A2052">
        <f>MATCH(B2052,STUDIES!$A$3:$A$502,0)</f>
        <v>72</v>
      </c>
      <c r="B2052" t="s">
        <v>1717</v>
      </c>
      <c r="C2052" s="456"/>
      <c r="D2052" t="s">
        <v>1056</v>
      </c>
      <c r="E2052" t="s">
        <v>1244</v>
      </c>
      <c r="F2052" s="456" t="str">
        <f>_xlfn.XLOOKUP(B2052,STUDIES!$A$3:$A$1063,STUDIES!$G$3:$G$1063,"Not Found!")</f>
        <v>A</v>
      </c>
      <c r="G2052" s="456" t="s">
        <v>147</v>
      </c>
      <c r="H2052">
        <v>12</v>
      </c>
      <c r="I2052">
        <v>109</v>
      </c>
      <c r="J2052">
        <f>0.404*109</f>
        <v>44.036000000000001</v>
      </c>
      <c r="K2052"/>
      <c r="L2052"/>
      <c r="M2052"/>
      <c r="N2052"/>
      <c r="O2052"/>
      <c r="P2052"/>
      <c r="Q2052"/>
      <c r="R2052"/>
      <c r="S2052"/>
      <c r="T2052"/>
      <c r="U2052"/>
      <c r="V2052"/>
      <c r="W2052"/>
      <c r="X2052"/>
      <c r="Y2052"/>
      <c r="Z2052"/>
      <c r="AA2052"/>
      <c r="AB2052"/>
      <c r="AC2052"/>
      <c r="AD2052"/>
      <c r="AE2052"/>
      <c r="AF2052"/>
      <c r="AG2052"/>
      <c r="AH2052"/>
      <c r="AI2052"/>
      <c r="AJ2052"/>
      <c r="AK2052"/>
      <c r="AL2052"/>
      <c r="AM2052"/>
      <c r="AN2052"/>
      <c r="AO2052"/>
      <c r="AP2052"/>
      <c r="AQ2052"/>
      <c r="AR2052"/>
      <c r="AS2052"/>
      <c r="AT2052"/>
      <c r="AU2052"/>
    </row>
    <row r="2053" spans="1:47" ht="18" customHeight="1" x14ac:dyDescent="0.35">
      <c r="A2053">
        <f>MATCH(B2053,STUDIES!$A$3:$A$502,0)</f>
        <v>72</v>
      </c>
      <c r="B2053" t="s">
        <v>1717</v>
      </c>
      <c r="C2053" s="456"/>
      <c r="D2053" t="s">
        <v>148</v>
      </c>
      <c r="E2053" t="s">
        <v>1244</v>
      </c>
      <c r="F2053" s="456" t="str">
        <f>_xlfn.XLOOKUP(B2053,STUDIES!$A$3:$A$1063,STUDIES!$G$3:$G$1063,"Not Found!")</f>
        <v>A</v>
      </c>
      <c r="G2053" s="456" t="s">
        <v>147</v>
      </c>
      <c r="H2053">
        <v>12</v>
      </c>
      <c r="I2053">
        <v>48</v>
      </c>
      <c r="J2053">
        <f>0.146*48</f>
        <v>7.0079999999999991</v>
      </c>
      <c r="K2053"/>
      <c r="L2053"/>
      <c r="M2053"/>
      <c r="N2053"/>
      <c r="O2053"/>
      <c r="P2053"/>
      <c r="Q2053"/>
      <c r="R2053"/>
      <c r="S2053"/>
      <c r="T2053"/>
      <c r="U2053"/>
      <c r="V2053"/>
      <c r="W2053"/>
      <c r="X2053"/>
      <c r="Y2053"/>
      <c r="Z2053"/>
      <c r="AA2053"/>
      <c r="AB2053"/>
      <c r="AC2053"/>
      <c r="AD2053"/>
      <c r="AE2053"/>
      <c r="AF2053"/>
      <c r="AG2053"/>
      <c r="AH2053"/>
      <c r="AI2053"/>
      <c r="AJ2053"/>
      <c r="AK2053"/>
      <c r="AL2053"/>
      <c r="AM2053"/>
      <c r="AN2053"/>
      <c r="AO2053"/>
      <c r="AP2053"/>
      <c r="AQ2053"/>
      <c r="AR2053"/>
      <c r="AS2053"/>
      <c r="AT2053"/>
      <c r="AU2053"/>
    </row>
    <row r="2054" spans="1:47" ht="18" customHeight="1" x14ac:dyDescent="0.35">
      <c r="A2054">
        <f>MATCH(B2054,STUDIES!$A$3:$A$502,0)</f>
        <v>72</v>
      </c>
      <c r="B2054" t="s">
        <v>1717</v>
      </c>
      <c r="C2054" s="456"/>
      <c r="D2054" t="s">
        <v>1056</v>
      </c>
      <c r="E2054" t="s">
        <v>695</v>
      </c>
      <c r="F2054" s="456" t="str">
        <f>_xlfn.XLOOKUP(B2054,STUDIES!$A$3:$A$1063,STUDIES!$G$3:$G$1063,"Not Found!")</f>
        <v>A</v>
      </c>
      <c r="G2054" s="456" t="s">
        <v>147</v>
      </c>
      <c r="H2054">
        <v>12</v>
      </c>
      <c r="I2054">
        <v>110</v>
      </c>
      <c r="J2054"/>
      <c r="K2054">
        <v>7.5</v>
      </c>
      <c r="L2054"/>
      <c r="M2054">
        <v>1.4</v>
      </c>
      <c r="N2054"/>
      <c r="O2054"/>
      <c r="P2054"/>
      <c r="Q2054"/>
      <c r="R2054"/>
      <c r="S2054"/>
      <c r="T2054"/>
      <c r="U2054"/>
      <c r="V2054"/>
      <c r="W2054"/>
      <c r="X2054"/>
      <c r="Y2054"/>
      <c r="Z2054"/>
      <c r="AA2054"/>
      <c r="AB2054"/>
      <c r="AC2054"/>
      <c r="AD2054"/>
      <c r="AE2054"/>
      <c r="AF2054"/>
      <c r="AG2054"/>
      <c r="AH2054"/>
      <c r="AI2054"/>
      <c r="AJ2054">
        <v>-52.5</v>
      </c>
      <c r="AK2054"/>
      <c r="AL2054">
        <v>30.6</v>
      </c>
      <c r="AM2054"/>
      <c r="AN2054"/>
      <c r="AO2054"/>
      <c r="AP2054"/>
      <c r="AQ2054"/>
      <c r="AR2054"/>
      <c r="AS2054"/>
      <c r="AT2054"/>
      <c r="AU2054"/>
    </row>
    <row r="2055" spans="1:47" ht="18" customHeight="1" x14ac:dyDescent="0.35">
      <c r="A2055">
        <f>MATCH(B2055,STUDIES!$A$3:$A$502,0)</f>
        <v>72</v>
      </c>
      <c r="B2055" t="s">
        <v>1717</v>
      </c>
      <c r="C2055" s="456"/>
      <c r="D2055" t="s">
        <v>148</v>
      </c>
      <c r="E2055" t="s">
        <v>695</v>
      </c>
      <c r="F2055" s="456" t="str">
        <f>_xlfn.XLOOKUP(B2055,STUDIES!$A$3:$A$1063,STUDIES!$G$3:$G$1063,"Not Found!")</f>
        <v>A</v>
      </c>
      <c r="G2055" s="456" t="s">
        <v>147</v>
      </c>
      <c r="H2055">
        <v>12</v>
      </c>
      <c r="I2055">
        <v>48</v>
      </c>
      <c r="J2055"/>
      <c r="K2055">
        <v>7.6</v>
      </c>
      <c r="L2055"/>
      <c r="M2055">
        <v>1.5</v>
      </c>
      <c r="N2055"/>
      <c r="O2055"/>
      <c r="P2055"/>
      <c r="Q2055"/>
      <c r="R2055"/>
      <c r="S2055"/>
      <c r="T2055"/>
      <c r="U2055"/>
      <c r="V2055"/>
      <c r="W2055"/>
      <c r="X2055"/>
      <c r="Y2055"/>
      <c r="Z2055"/>
      <c r="AA2055"/>
      <c r="AB2055"/>
      <c r="AC2055"/>
      <c r="AD2055"/>
      <c r="AE2055"/>
      <c r="AF2055"/>
      <c r="AG2055"/>
      <c r="AH2055"/>
      <c r="AI2055"/>
      <c r="AJ2055">
        <v>-23.3</v>
      </c>
      <c r="AK2055"/>
      <c r="AL2055">
        <v>30.1</v>
      </c>
      <c r="AM2055"/>
      <c r="AN2055"/>
      <c r="AO2055"/>
      <c r="AP2055"/>
      <c r="AQ2055"/>
      <c r="AR2055"/>
      <c r="AS2055"/>
      <c r="AT2055"/>
      <c r="AU2055"/>
    </row>
    <row r="2056" spans="1:47" ht="18" customHeight="1" x14ac:dyDescent="0.35">
      <c r="A2056">
        <f>MATCH(B2056,STUDIES!$A$3:$A$502,0)</f>
        <v>87</v>
      </c>
      <c r="B2056" t="s">
        <v>1723</v>
      </c>
      <c r="C2056" s="456"/>
      <c r="D2056" t="s">
        <v>148</v>
      </c>
      <c r="E2056" t="s">
        <v>151</v>
      </c>
      <c r="F2056" s="456" t="str">
        <f>_xlfn.XLOOKUP(B2056,STUDIES!$A$3:$A$1063,STUDIES!$G$3:$G$1063,"Not Found!")</f>
        <v>A</v>
      </c>
      <c r="G2056" s="456" t="s">
        <v>147</v>
      </c>
      <c r="H2056">
        <v>16</v>
      </c>
      <c r="I2056">
        <v>55</v>
      </c>
      <c r="J2056"/>
      <c r="K2056">
        <v>28.81</v>
      </c>
      <c r="L2056"/>
      <c r="M2056">
        <v>8.9</v>
      </c>
      <c r="N2056"/>
      <c r="O2056"/>
      <c r="P2056"/>
      <c r="Q2056"/>
      <c r="R2056"/>
      <c r="S2056"/>
      <c r="T2056"/>
      <c r="U2056"/>
      <c r="V2056"/>
      <c r="W2056"/>
      <c r="X2056"/>
      <c r="Y2056"/>
      <c r="Z2056"/>
      <c r="AA2056"/>
      <c r="AB2056"/>
      <c r="AC2056"/>
      <c r="AD2056"/>
      <c r="AE2056"/>
      <c r="AF2056"/>
      <c r="AG2056"/>
      <c r="AH2056"/>
      <c r="AI2056"/>
      <c r="AJ2056">
        <v>-51.31</v>
      </c>
      <c r="AK2056">
        <v>5.2140000000000004</v>
      </c>
      <c r="AL2056"/>
      <c r="AM2056"/>
      <c r="AN2056"/>
      <c r="AO2056"/>
      <c r="AP2056"/>
      <c r="AQ2056"/>
      <c r="AR2056"/>
      <c r="AS2056"/>
      <c r="AT2056"/>
      <c r="AU2056"/>
    </row>
    <row r="2057" spans="1:47" ht="18" customHeight="1" x14ac:dyDescent="0.35">
      <c r="A2057">
        <f>MATCH(B2057,STUDIES!$A$3:$A$502,0)</f>
        <v>87</v>
      </c>
      <c r="B2057" t="s">
        <v>1723</v>
      </c>
      <c r="C2057" s="456"/>
      <c r="D2057" t="s">
        <v>1725</v>
      </c>
      <c r="E2057" t="s">
        <v>151</v>
      </c>
      <c r="F2057" s="456" t="str">
        <f>_xlfn.XLOOKUP(B2057,STUDIES!$A$3:$A$1063,STUDIES!$G$3:$G$1063,"Not Found!")</f>
        <v>A</v>
      </c>
      <c r="G2057" s="456" t="s">
        <v>147</v>
      </c>
      <c r="H2057">
        <v>16</v>
      </c>
      <c r="I2057">
        <v>19</v>
      </c>
      <c r="J2057"/>
      <c r="K2057">
        <v>28.94</v>
      </c>
      <c r="L2057"/>
      <c r="M2057">
        <v>11.66</v>
      </c>
      <c r="N2057"/>
      <c r="O2057"/>
      <c r="P2057"/>
      <c r="Q2057"/>
      <c r="R2057"/>
      <c r="S2057"/>
      <c r="T2057"/>
      <c r="U2057"/>
      <c r="V2057"/>
      <c r="W2057"/>
      <c r="X2057"/>
      <c r="Y2057"/>
      <c r="Z2057"/>
      <c r="AA2057"/>
      <c r="AB2057"/>
      <c r="AC2057"/>
      <c r="AD2057"/>
      <c r="AE2057"/>
      <c r="AF2057"/>
      <c r="AG2057"/>
      <c r="AH2057"/>
      <c r="AI2057"/>
      <c r="AJ2057">
        <v>-50.03</v>
      </c>
      <c r="AK2057">
        <v>7.4189999999999996</v>
      </c>
      <c r="AL2057"/>
      <c r="AM2057"/>
      <c r="AN2057"/>
      <c r="AO2057"/>
      <c r="AP2057"/>
      <c r="AQ2057"/>
      <c r="AR2057"/>
      <c r="AS2057"/>
      <c r="AT2057"/>
      <c r="AU2057"/>
    </row>
    <row r="2058" spans="1:47" ht="18" customHeight="1" x14ac:dyDescent="0.35">
      <c r="A2058">
        <f>MATCH(B2058,STUDIES!$A$3:$A$502,0)</f>
        <v>87</v>
      </c>
      <c r="B2058" t="s">
        <v>1723</v>
      </c>
      <c r="C2058" s="456"/>
      <c r="D2058" t="s">
        <v>1726</v>
      </c>
      <c r="E2058" t="s">
        <v>151</v>
      </c>
      <c r="F2058" s="456" t="str">
        <f>_xlfn.XLOOKUP(B2058,STUDIES!$A$3:$A$1063,STUDIES!$G$3:$G$1063,"Not Found!")</f>
        <v>A</v>
      </c>
      <c r="G2058" s="456" t="s">
        <v>147</v>
      </c>
      <c r="H2058">
        <v>16</v>
      </c>
      <c r="I2058">
        <v>17</v>
      </c>
      <c r="J2058"/>
      <c r="K2058">
        <v>28.36</v>
      </c>
      <c r="L2058"/>
      <c r="M2058">
        <v>11.87</v>
      </c>
      <c r="N2058"/>
      <c r="O2058"/>
      <c r="P2058"/>
      <c r="Q2058"/>
      <c r="R2058"/>
      <c r="S2058"/>
      <c r="T2058"/>
      <c r="U2058"/>
      <c r="V2058"/>
      <c r="W2058"/>
      <c r="X2058"/>
      <c r="Y2058"/>
      <c r="Z2058"/>
      <c r="AA2058"/>
      <c r="AB2058"/>
      <c r="AC2058"/>
      <c r="AD2058"/>
      <c r="AE2058"/>
      <c r="AF2058"/>
      <c r="AG2058"/>
      <c r="AH2058"/>
      <c r="AI2058"/>
      <c r="AJ2058">
        <v>-45.43</v>
      </c>
      <c r="AK2058">
        <v>8.4019999999999992</v>
      </c>
      <c r="AL2058"/>
      <c r="AM2058"/>
      <c r="AN2058"/>
      <c r="AO2058"/>
      <c r="AP2058"/>
      <c r="AQ2058"/>
      <c r="AR2058"/>
      <c r="AS2058"/>
      <c r="AT2058"/>
      <c r="AU2058"/>
    </row>
    <row r="2059" spans="1:47" ht="18" customHeight="1" x14ac:dyDescent="0.35">
      <c r="A2059">
        <f>MATCH(B2059,STUDIES!$A$3:$A$502,0)</f>
        <v>87</v>
      </c>
      <c r="B2059" t="s">
        <v>1723</v>
      </c>
      <c r="C2059" s="456"/>
      <c r="D2059" t="s">
        <v>1727</v>
      </c>
      <c r="E2059" t="s">
        <v>151</v>
      </c>
      <c r="F2059" s="456" t="str">
        <f>_xlfn.XLOOKUP(B2059,STUDIES!$A$3:$A$1063,STUDIES!$G$3:$G$1063,"Not Found!")</f>
        <v>A</v>
      </c>
      <c r="G2059" s="456" t="s">
        <v>147</v>
      </c>
      <c r="H2059">
        <v>16</v>
      </c>
      <c r="I2059">
        <v>54</v>
      </c>
      <c r="J2059"/>
      <c r="K2059">
        <v>32.299999999999997</v>
      </c>
      <c r="L2059"/>
      <c r="M2059">
        <v>10.86</v>
      </c>
      <c r="N2059"/>
      <c r="O2059"/>
      <c r="P2059"/>
      <c r="Q2059"/>
      <c r="R2059"/>
      <c r="S2059"/>
      <c r="T2059"/>
      <c r="U2059"/>
      <c r="V2059"/>
      <c r="W2059"/>
      <c r="X2059"/>
      <c r="Y2059"/>
      <c r="Z2059"/>
      <c r="AA2059"/>
      <c r="AB2059"/>
      <c r="AC2059"/>
      <c r="AD2059"/>
      <c r="AE2059"/>
      <c r="AF2059"/>
      <c r="AG2059"/>
      <c r="AH2059"/>
      <c r="AI2059"/>
      <c r="AJ2059">
        <v>-53.02</v>
      </c>
      <c r="AK2059">
        <v>4.8579999999999997</v>
      </c>
      <c r="AL2059"/>
      <c r="AM2059"/>
      <c r="AN2059"/>
      <c r="AO2059"/>
      <c r="AP2059"/>
      <c r="AQ2059"/>
      <c r="AR2059"/>
      <c r="AS2059"/>
      <c r="AT2059"/>
      <c r="AU2059"/>
    </row>
    <row r="2060" spans="1:47" ht="18" customHeight="1" x14ac:dyDescent="0.35">
      <c r="A2060">
        <f>MATCH(B2060,STUDIES!$A$3:$A$502,0)</f>
        <v>87</v>
      </c>
      <c r="B2060" t="s">
        <v>1723</v>
      </c>
      <c r="C2060" s="456"/>
      <c r="D2060" t="s">
        <v>148</v>
      </c>
      <c r="E2060" t="s">
        <v>1244</v>
      </c>
      <c r="F2060" s="456" t="str">
        <f>_xlfn.XLOOKUP(B2060,STUDIES!$A$3:$A$1063,STUDIES!$G$3:$G$1063,"Not Found!")</f>
        <v>A</v>
      </c>
      <c r="G2060" s="456" t="s">
        <v>147</v>
      </c>
      <c r="H2060">
        <v>16</v>
      </c>
      <c r="I2060">
        <v>56</v>
      </c>
      <c r="J2060">
        <v>0</v>
      </c>
      <c r="K2060"/>
      <c r="L2060"/>
      <c r="M2060"/>
      <c r="N2060"/>
      <c r="O2060"/>
      <c r="P2060"/>
      <c r="Q2060"/>
      <c r="R2060"/>
      <c r="S2060"/>
      <c r="T2060"/>
      <c r="U2060"/>
      <c r="V2060"/>
      <c r="W2060"/>
      <c r="X2060"/>
      <c r="Y2060"/>
      <c r="Z2060"/>
      <c r="AA2060"/>
      <c r="AB2060"/>
      <c r="AC2060"/>
      <c r="AD2060"/>
      <c r="AE2060"/>
      <c r="AF2060"/>
      <c r="AG2060"/>
      <c r="AH2060"/>
      <c r="AI2060"/>
      <c r="AJ2060"/>
      <c r="AK2060"/>
      <c r="AL2060"/>
      <c r="AM2060"/>
      <c r="AN2060"/>
      <c r="AO2060"/>
      <c r="AP2060"/>
      <c r="AQ2060"/>
      <c r="AR2060"/>
      <c r="AS2060"/>
      <c r="AT2060"/>
      <c r="AU2060"/>
    </row>
    <row r="2061" spans="1:47" ht="18" customHeight="1" x14ac:dyDescent="0.35">
      <c r="A2061">
        <f>MATCH(B2061,STUDIES!$A$3:$A$502,0)</f>
        <v>87</v>
      </c>
      <c r="B2061" t="s">
        <v>1723</v>
      </c>
      <c r="C2061" s="456"/>
      <c r="D2061" t="s">
        <v>1725</v>
      </c>
      <c r="E2061" t="s">
        <v>1244</v>
      </c>
      <c r="F2061" s="456" t="str">
        <f>_xlfn.XLOOKUP(B2061,STUDIES!$A$3:$A$1063,STUDIES!$G$3:$G$1063,"Not Found!")</f>
        <v>A</v>
      </c>
      <c r="G2061" s="456" t="s">
        <v>147</v>
      </c>
      <c r="H2061">
        <v>16</v>
      </c>
      <c r="I2061">
        <v>19</v>
      </c>
      <c r="J2061">
        <v>0</v>
      </c>
      <c r="K2061"/>
      <c r="L2061"/>
      <c r="M2061"/>
      <c r="N2061"/>
      <c r="O2061"/>
      <c r="P2061"/>
      <c r="Q2061"/>
      <c r="R2061"/>
      <c r="S2061"/>
      <c r="T2061"/>
      <c r="U2061"/>
      <c r="V2061"/>
      <c r="W2061"/>
      <c r="X2061"/>
      <c r="Y2061"/>
      <c r="Z2061"/>
      <c r="AA2061"/>
      <c r="AB2061"/>
      <c r="AC2061"/>
      <c r="AD2061"/>
      <c r="AE2061"/>
      <c r="AF2061"/>
      <c r="AG2061"/>
      <c r="AH2061"/>
      <c r="AI2061"/>
      <c r="AJ2061"/>
      <c r="AK2061"/>
      <c r="AL2061"/>
      <c r="AM2061"/>
      <c r="AN2061"/>
      <c r="AO2061"/>
      <c r="AP2061"/>
      <c r="AQ2061"/>
      <c r="AR2061"/>
      <c r="AS2061"/>
      <c r="AT2061"/>
      <c r="AU2061"/>
    </row>
    <row r="2062" spans="1:47" ht="18" customHeight="1" x14ac:dyDescent="0.35">
      <c r="A2062">
        <f>MATCH(B2062,STUDIES!$A$3:$A$502,0)</f>
        <v>87</v>
      </c>
      <c r="B2062" t="s">
        <v>1723</v>
      </c>
      <c r="C2062" s="456"/>
      <c r="D2062" t="s">
        <v>1726</v>
      </c>
      <c r="E2062" t="s">
        <v>1244</v>
      </c>
      <c r="F2062" s="456" t="str">
        <f>_xlfn.XLOOKUP(B2062,STUDIES!$A$3:$A$1063,STUDIES!$G$3:$G$1063,"Not Found!")</f>
        <v>A</v>
      </c>
      <c r="G2062" s="456" t="s">
        <v>147</v>
      </c>
      <c r="H2062">
        <v>16</v>
      </c>
      <c r="I2062">
        <v>18</v>
      </c>
      <c r="J2062">
        <v>1</v>
      </c>
      <c r="K2062"/>
      <c r="L2062"/>
      <c r="M2062"/>
      <c r="N2062"/>
      <c r="O2062"/>
      <c r="P2062"/>
      <c r="Q2062"/>
      <c r="R2062"/>
      <c r="S2062"/>
      <c r="T2062"/>
      <c r="U2062"/>
      <c r="V2062"/>
      <c r="W2062"/>
      <c r="X2062"/>
      <c r="Y2062"/>
      <c r="Z2062"/>
      <c r="AA2062"/>
      <c r="AB2062"/>
      <c r="AC2062"/>
      <c r="AD2062"/>
      <c r="AE2062"/>
      <c r="AF2062"/>
      <c r="AG2062"/>
      <c r="AH2062"/>
      <c r="AI2062"/>
      <c r="AJ2062"/>
      <c r="AK2062"/>
      <c r="AL2062"/>
      <c r="AM2062"/>
      <c r="AN2062"/>
      <c r="AO2062"/>
      <c r="AP2062"/>
      <c r="AQ2062"/>
      <c r="AR2062"/>
      <c r="AS2062"/>
      <c r="AT2062"/>
      <c r="AU2062"/>
    </row>
    <row r="2063" spans="1:47" ht="18" customHeight="1" x14ac:dyDescent="0.35">
      <c r="A2063">
        <f>MATCH(B2063,STUDIES!$A$3:$A$502,0)</f>
        <v>87</v>
      </c>
      <c r="B2063" t="s">
        <v>1723</v>
      </c>
      <c r="C2063" s="456"/>
      <c r="D2063" t="s">
        <v>1727</v>
      </c>
      <c r="E2063" t="s">
        <v>1244</v>
      </c>
      <c r="F2063" s="456" t="str">
        <f>_xlfn.XLOOKUP(B2063,STUDIES!$A$3:$A$1063,STUDIES!$G$3:$G$1063,"Not Found!")</f>
        <v>A</v>
      </c>
      <c r="G2063" s="456" t="s">
        <v>147</v>
      </c>
      <c r="H2063">
        <v>16</v>
      </c>
      <c r="I2063">
        <v>55</v>
      </c>
      <c r="J2063">
        <v>3</v>
      </c>
      <c r="K2063"/>
      <c r="L2063"/>
      <c r="M2063"/>
      <c r="N2063"/>
      <c r="O2063"/>
      <c r="P2063"/>
      <c r="Q2063"/>
      <c r="R2063"/>
      <c r="S2063"/>
      <c r="T2063"/>
      <c r="U2063"/>
      <c r="V2063"/>
      <c r="W2063"/>
      <c r="X2063"/>
      <c r="Y2063"/>
      <c r="Z2063"/>
      <c r="AA2063"/>
      <c r="AB2063"/>
      <c r="AC2063"/>
      <c r="AD2063"/>
      <c r="AE2063"/>
      <c r="AF2063"/>
      <c r="AG2063"/>
      <c r="AH2063"/>
      <c r="AI2063"/>
      <c r="AJ2063"/>
      <c r="AK2063"/>
      <c r="AL2063"/>
      <c r="AM2063"/>
      <c r="AN2063"/>
      <c r="AO2063"/>
      <c r="AP2063"/>
      <c r="AQ2063"/>
      <c r="AR2063"/>
      <c r="AS2063"/>
      <c r="AT2063"/>
      <c r="AU2063"/>
    </row>
    <row r="2064" spans="1:47" ht="18" customHeight="1" x14ac:dyDescent="0.35">
      <c r="A2064">
        <f>MATCH(B2064,STUDIES!$A$3:$A$502,0)</f>
        <v>87</v>
      </c>
      <c r="B2064" t="s">
        <v>1723</v>
      </c>
      <c r="C2064" s="456"/>
      <c r="D2064" t="s">
        <v>148</v>
      </c>
      <c r="E2064" t="s">
        <v>1243</v>
      </c>
      <c r="F2064" s="456" t="str">
        <f>_xlfn.XLOOKUP(B2064,STUDIES!$A$3:$A$1063,STUDIES!$G$3:$G$1063,"Not Found!")</f>
        <v>A</v>
      </c>
      <c r="G2064" s="456" t="s">
        <v>147</v>
      </c>
      <c r="H2064">
        <v>16</v>
      </c>
      <c r="I2064">
        <v>56</v>
      </c>
      <c r="J2064">
        <v>4</v>
      </c>
      <c r="K2064"/>
      <c r="L2064"/>
      <c r="M2064"/>
      <c r="N2064"/>
      <c r="O2064"/>
      <c r="P2064"/>
      <c r="Q2064"/>
      <c r="R2064"/>
      <c r="S2064"/>
      <c r="T2064"/>
      <c r="U2064"/>
      <c r="V2064"/>
      <c r="W2064"/>
      <c r="X2064"/>
      <c r="Y2064"/>
      <c r="Z2064"/>
      <c r="AA2064"/>
      <c r="AB2064"/>
      <c r="AC2064"/>
      <c r="AD2064"/>
      <c r="AE2064"/>
      <c r="AF2064"/>
      <c r="AG2064"/>
      <c r="AH2064"/>
      <c r="AI2064"/>
      <c r="AJ2064"/>
      <c r="AK2064"/>
      <c r="AL2064"/>
      <c r="AM2064"/>
      <c r="AN2064"/>
      <c r="AO2064"/>
      <c r="AP2064"/>
      <c r="AQ2064"/>
      <c r="AR2064"/>
      <c r="AS2064"/>
      <c r="AT2064"/>
      <c r="AU2064"/>
    </row>
    <row r="2065" spans="1:47" ht="18" customHeight="1" x14ac:dyDescent="0.35">
      <c r="A2065">
        <f>MATCH(B2065,STUDIES!$A$3:$A$502,0)</f>
        <v>87</v>
      </c>
      <c r="B2065" t="s">
        <v>1723</v>
      </c>
      <c r="C2065" s="456"/>
      <c r="D2065" t="s">
        <v>1725</v>
      </c>
      <c r="E2065" t="s">
        <v>1243</v>
      </c>
      <c r="F2065" s="456" t="str">
        <f>_xlfn.XLOOKUP(B2065,STUDIES!$A$3:$A$1063,STUDIES!$G$3:$G$1063,"Not Found!")</f>
        <v>A</v>
      </c>
      <c r="G2065" s="456" t="s">
        <v>147</v>
      </c>
      <c r="H2065">
        <v>16</v>
      </c>
      <c r="I2065">
        <v>19</v>
      </c>
      <c r="J2065">
        <v>2</v>
      </c>
      <c r="K2065"/>
      <c r="L2065"/>
      <c r="M2065"/>
      <c r="N2065"/>
      <c r="O2065"/>
      <c r="P2065"/>
      <c r="Q2065"/>
      <c r="R2065"/>
      <c r="S2065"/>
      <c r="T2065"/>
      <c r="U2065"/>
      <c r="V2065"/>
      <c r="W2065"/>
      <c r="X2065"/>
      <c r="Y2065"/>
      <c r="Z2065"/>
      <c r="AA2065"/>
      <c r="AB2065"/>
      <c r="AC2065"/>
      <c r="AD2065"/>
      <c r="AE2065"/>
      <c r="AF2065"/>
      <c r="AG2065"/>
      <c r="AH2065"/>
      <c r="AI2065"/>
      <c r="AJ2065"/>
      <c r="AK2065"/>
      <c r="AL2065"/>
      <c r="AM2065"/>
      <c r="AN2065"/>
      <c r="AO2065"/>
      <c r="AP2065"/>
      <c r="AQ2065"/>
      <c r="AR2065"/>
      <c r="AS2065"/>
      <c r="AT2065"/>
      <c r="AU2065"/>
    </row>
    <row r="2066" spans="1:47" ht="18" customHeight="1" x14ac:dyDescent="0.35">
      <c r="A2066">
        <f>MATCH(B2066,STUDIES!$A$3:$A$502,0)</f>
        <v>87</v>
      </c>
      <c r="B2066" t="s">
        <v>1723</v>
      </c>
      <c r="C2066" s="456"/>
      <c r="D2066" t="s">
        <v>1726</v>
      </c>
      <c r="E2066" t="s">
        <v>1243</v>
      </c>
      <c r="F2066" s="456" t="str">
        <f>_xlfn.XLOOKUP(B2066,STUDIES!$A$3:$A$1063,STUDIES!$G$3:$G$1063,"Not Found!")</f>
        <v>A</v>
      </c>
      <c r="G2066" s="456" t="s">
        <v>147</v>
      </c>
      <c r="H2066">
        <v>16</v>
      </c>
      <c r="I2066">
        <v>18</v>
      </c>
      <c r="J2066">
        <v>1</v>
      </c>
      <c r="K2066"/>
      <c r="L2066"/>
      <c r="M2066"/>
      <c r="N2066"/>
      <c r="O2066"/>
      <c r="P2066"/>
      <c r="Q2066"/>
      <c r="R2066"/>
      <c r="S2066"/>
      <c r="T2066"/>
      <c r="U2066"/>
      <c r="V2066"/>
      <c r="W2066"/>
      <c r="X2066"/>
      <c r="Y2066"/>
      <c r="Z2066"/>
      <c r="AA2066"/>
      <c r="AB2066"/>
      <c r="AC2066"/>
      <c r="AD2066"/>
      <c r="AE2066"/>
      <c r="AF2066"/>
      <c r="AG2066"/>
      <c r="AH2066"/>
      <c r="AI2066"/>
      <c r="AJ2066"/>
      <c r="AK2066"/>
      <c r="AL2066"/>
      <c r="AM2066"/>
      <c r="AN2066"/>
      <c r="AO2066"/>
      <c r="AP2066"/>
      <c r="AQ2066"/>
      <c r="AR2066"/>
      <c r="AS2066"/>
      <c r="AT2066"/>
      <c r="AU2066"/>
    </row>
    <row r="2067" spans="1:47" ht="18" customHeight="1" x14ac:dyDescent="0.35">
      <c r="A2067">
        <f>MATCH(B2067,STUDIES!$A$3:$A$502,0)</f>
        <v>87</v>
      </c>
      <c r="B2067" t="s">
        <v>1723</v>
      </c>
      <c r="C2067" s="456"/>
      <c r="D2067" t="s">
        <v>1727</v>
      </c>
      <c r="E2067" t="s">
        <v>1243</v>
      </c>
      <c r="F2067" s="456" t="str">
        <f>_xlfn.XLOOKUP(B2067,STUDIES!$A$3:$A$1063,STUDIES!$G$3:$G$1063,"Not Found!")</f>
        <v>A</v>
      </c>
      <c r="G2067" s="456" t="s">
        <v>147</v>
      </c>
      <c r="H2067">
        <v>16</v>
      </c>
      <c r="I2067">
        <v>55</v>
      </c>
      <c r="J2067">
        <v>10</v>
      </c>
      <c r="K2067"/>
      <c r="L2067"/>
      <c r="M2067"/>
      <c r="N2067"/>
      <c r="O2067"/>
      <c r="P2067"/>
      <c r="Q2067"/>
      <c r="R2067"/>
      <c r="S2067"/>
      <c r="T2067"/>
      <c r="U2067"/>
      <c r="V2067"/>
      <c r="W2067"/>
      <c r="X2067"/>
      <c r="Y2067"/>
      <c r="Z2067"/>
      <c r="AA2067"/>
      <c r="AB2067"/>
      <c r="AC2067"/>
      <c r="AD2067"/>
      <c r="AE2067"/>
      <c r="AF2067"/>
      <c r="AG2067"/>
      <c r="AH2067"/>
      <c r="AI2067"/>
      <c r="AJ2067"/>
      <c r="AK2067"/>
      <c r="AL2067"/>
      <c r="AM2067"/>
      <c r="AN2067"/>
      <c r="AO2067"/>
      <c r="AP2067"/>
      <c r="AQ2067"/>
      <c r="AR2067"/>
      <c r="AS2067"/>
      <c r="AT2067"/>
      <c r="AU2067"/>
    </row>
    <row r="2068" spans="1:47" ht="18" customHeight="1" x14ac:dyDescent="0.35">
      <c r="A2068">
        <f>MATCH(B2068,STUDIES!$A$3:$A$502,0)</f>
        <v>87</v>
      </c>
      <c r="B2068" t="s">
        <v>1723</v>
      </c>
      <c r="C2068" s="456"/>
      <c r="D2068" t="s">
        <v>148</v>
      </c>
      <c r="E2068" t="s">
        <v>1258</v>
      </c>
      <c r="F2068" s="456" t="str">
        <f>_xlfn.XLOOKUP(B2068,STUDIES!$A$3:$A$1063,STUDIES!$G$3:$G$1063,"Not Found!")</f>
        <v>A</v>
      </c>
      <c r="G2068" s="456" t="s">
        <v>147</v>
      </c>
      <c r="H2068">
        <v>16</v>
      </c>
      <c r="I2068">
        <v>56</v>
      </c>
      <c r="J2068">
        <v>12</v>
      </c>
      <c r="K2068"/>
      <c r="L2068"/>
      <c r="M2068"/>
      <c r="N2068"/>
      <c r="O2068"/>
      <c r="P2068"/>
      <c r="Q2068"/>
      <c r="R2068"/>
      <c r="S2068"/>
      <c r="T2068"/>
      <c r="U2068"/>
      <c r="V2068"/>
      <c r="W2068"/>
      <c r="X2068"/>
      <c r="Y2068"/>
      <c r="Z2068"/>
      <c r="AA2068"/>
      <c r="AB2068"/>
      <c r="AC2068"/>
      <c r="AD2068"/>
      <c r="AE2068"/>
      <c r="AF2068"/>
      <c r="AG2068"/>
      <c r="AH2068"/>
      <c r="AI2068"/>
      <c r="AJ2068"/>
      <c r="AK2068"/>
      <c r="AL2068"/>
      <c r="AM2068"/>
      <c r="AN2068"/>
      <c r="AO2068"/>
      <c r="AP2068"/>
      <c r="AQ2068"/>
      <c r="AR2068"/>
      <c r="AS2068"/>
      <c r="AT2068"/>
      <c r="AU2068"/>
    </row>
    <row r="2069" spans="1:47" ht="18" customHeight="1" x14ac:dyDescent="0.35">
      <c r="A2069">
        <f>MATCH(B2069,STUDIES!$A$3:$A$502,0)</f>
        <v>87</v>
      </c>
      <c r="B2069" t="s">
        <v>1723</v>
      </c>
      <c r="C2069" s="456"/>
      <c r="D2069" t="s">
        <v>1725</v>
      </c>
      <c r="E2069" t="s">
        <v>1258</v>
      </c>
      <c r="F2069" s="456" t="str">
        <f>_xlfn.XLOOKUP(B2069,STUDIES!$A$3:$A$1063,STUDIES!$G$3:$G$1063,"Not Found!")</f>
        <v>A</v>
      </c>
      <c r="G2069" s="456" t="s">
        <v>147</v>
      </c>
      <c r="H2069">
        <v>16</v>
      </c>
      <c r="I2069">
        <v>19</v>
      </c>
      <c r="J2069">
        <v>5</v>
      </c>
      <c r="K2069"/>
      <c r="L2069"/>
      <c r="M2069"/>
      <c r="N2069"/>
      <c r="O2069"/>
      <c r="P2069"/>
      <c r="Q2069"/>
      <c r="R2069"/>
      <c r="S2069"/>
      <c r="T2069"/>
      <c r="U2069"/>
      <c r="V2069"/>
      <c r="W2069"/>
      <c r="X2069"/>
      <c r="Y2069"/>
      <c r="Z2069"/>
      <c r="AA2069"/>
      <c r="AB2069"/>
      <c r="AC2069"/>
      <c r="AD2069"/>
      <c r="AE2069"/>
      <c r="AF2069"/>
      <c r="AG2069"/>
      <c r="AH2069"/>
      <c r="AI2069"/>
      <c r="AJ2069"/>
      <c r="AK2069"/>
      <c r="AL2069"/>
      <c r="AM2069"/>
      <c r="AN2069"/>
      <c r="AO2069"/>
      <c r="AP2069"/>
      <c r="AQ2069"/>
      <c r="AR2069"/>
      <c r="AS2069"/>
      <c r="AT2069"/>
      <c r="AU2069"/>
    </row>
    <row r="2070" spans="1:47" ht="18" customHeight="1" x14ac:dyDescent="0.35">
      <c r="A2070">
        <f>MATCH(B2070,STUDIES!$A$3:$A$502,0)</f>
        <v>87</v>
      </c>
      <c r="B2070" t="s">
        <v>1723</v>
      </c>
      <c r="C2070" s="456"/>
      <c r="D2070" t="s">
        <v>1726</v>
      </c>
      <c r="E2070" t="s">
        <v>1258</v>
      </c>
      <c r="F2070" s="456" t="str">
        <f>_xlfn.XLOOKUP(B2070,STUDIES!$A$3:$A$1063,STUDIES!$G$3:$G$1063,"Not Found!")</f>
        <v>A</v>
      </c>
      <c r="G2070" s="456" t="s">
        <v>147</v>
      </c>
      <c r="H2070">
        <v>16</v>
      </c>
      <c r="I2070">
        <v>18</v>
      </c>
      <c r="J2070">
        <v>5</v>
      </c>
      <c r="K2070"/>
      <c r="L2070"/>
      <c r="M2070"/>
      <c r="N2070"/>
      <c r="O2070"/>
      <c r="P2070"/>
      <c r="Q2070"/>
      <c r="R2070"/>
      <c r="S2070"/>
      <c r="T2070"/>
      <c r="U2070"/>
      <c r="V2070"/>
      <c r="W2070"/>
      <c r="X2070"/>
      <c r="Y2070"/>
      <c r="Z2070"/>
      <c r="AA2070"/>
      <c r="AB2070"/>
      <c r="AC2070"/>
      <c r="AD2070"/>
      <c r="AE2070"/>
      <c r="AF2070"/>
      <c r="AG2070"/>
      <c r="AH2070"/>
      <c r="AI2070"/>
      <c r="AJ2070"/>
      <c r="AK2070"/>
      <c r="AL2070"/>
      <c r="AM2070"/>
      <c r="AN2070"/>
      <c r="AO2070"/>
      <c r="AP2070"/>
      <c r="AQ2070"/>
      <c r="AR2070"/>
      <c r="AS2070"/>
      <c r="AT2070"/>
      <c r="AU2070"/>
    </row>
    <row r="2071" spans="1:47" ht="18" customHeight="1" x14ac:dyDescent="0.35">
      <c r="A2071">
        <f>MATCH(B2071,STUDIES!$A$3:$A$502,0)</f>
        <v>87</v>
      </c>
      <c r="B2071" t="s">
        <v>1723</v>
      </c>
      <c r="C2071" s="456"/>
      <c r="D2071" t="s">
        <v>1727</v>
      </c>
      <c r="E2071" t="s">
        <v>1258</v>
      </c>
      <c r="F2071" s="456" t="str">
        <f>_xlfn.XLOOKUP(B2071,STUDIES!$A$3:$A$1063,STUDIES!$G$3:$G$1063,"Not Found!")</f>
        <v>A</v>
      </c>
      <c r="G2071" s="456" t="s">
        <v>147</v>
      </c>
      <c r="H2071">
        <v>16</v>
      </c>
      <c r="I2071">
        <v>55</v>
      </c>
      <c r="J2071">
        <v>16</v>
      </c>
      <c r="K2071"/>
      <c r="L2071"/>
      <c r="M2071"/>
      <c r="N2071"/>
      <c r="O2071"/>
      <c r="P2071"/>
      <c r="Q2071"/>
      <c r="R2071"/>
      <c r="S2071"/>
      <c r="T2071"/>
      <c r="U2071"/>
      <c r="V2071"/>
      <c r="W2071"/>
      <c r="X2071"/>
      <c r="Y2071"/>
      <c r="Z2071"/>
      <c r="AA2071"/>
      <c r="AB2071"/>
      <c r="AC2071"/>
      <c r="AD2071"/>
      <c r="AE2071"/>
      <c r="AF2071"/>
      <c r="AG2071"/>
      <c r="AH2071"/>
      <c r="AI2071"/>
      <c r="AJ2071"/>
      <c r="AK2071"/>
      <c r="AL2071"/>
      <c r="AM2071"/>
      <c r="AN2071"/>
      <c r="AO2071"/>
      <c r="AP2071"/>
      <c r="AQ2071"/>
      <c r="AR2071"/>
      <c r="AS2071"/>
      <c r="AT2071"/>
      <c r="AU2071"/>
    </row>
    <row r="2072" spans="1:47" ht="18" customHeight="1" x14ac:dyDescent="0.35">
      <c r="A2072">
        <f>MATCH(B2072,STUDIES!$A$3:$A$502,0)</f>
        <v>87</v>
      </c>
      <c r="B2072" t="s">
        <v>1723</v>
      </c>
      <c r="C2072" s="456"/>
      <c r="D2072" t="s">
        <v>148</v>
      </c>
      <c r="E2072" t="s">
        <v>1268</v>
      </c>
      <c r="F2072" s="456" t="str">
        <f>_xlfn.XLOOKUP(B2072,STUDIES!$A$3:$A$1063,STUDIES!$G$3:$G$1063,"Not Found!")</f>
        <v>A</v>
      </c>
      <c r="G2072" s="456" t="s">
        <v>147</v>
      </c>
      <c r="H2072">
        <v>16</v>
      </c>
      <c r="I2072">
        <v>56</v>
      </c>
      <c r="J2072">
        <v>1</v>
      </c>
      <c r="K2072"/>
      <c r="L2072"/>
      <c r="M2072"/>
      <c r="N2072"/>
      <c r="O2072"/>
      <c r="P2072"/>
      <c r="Q2072"/>
      <c r="R2072"/>
      <c r="S2072"/>
      <c r="T2072"/>
      <c r="U2072"/>
      <c r="V2072"/>
      <c r="W2072"/>
      <c r="X2072"/>
      <c r="Y2072"/>
      <c r="Z2072"/>
      <c r="AA2072"/>
      <c r="AB2072"/>
      <c r="AC2072"/>
      <c r="AD2072"/>
      <c r="AE2072"/>
      <c r="AF2072"/>
      <c r="AG2072"/>
      <c r="AH2072"/>
      <c r="AI2072"/>
      <c r="AJ2072"/>
      <c r="AK2072"/>
      <c r="AL2072"/>
      <c r="AM2072"/>
      <c r="AN2072"/>
      <c r="AO2072"/>
      <c r="AP2072"/>
      <c r="AQ2072"/>
      <c r="AR2072"/>
      <c r="AS2072"/>
      <c r="AT2072"/>
      <c r="AU2072"/>
    </row>
    <row r="2073" spans="1:47" ht="18" customHeight="1" x14ac:dyDescent="0.35">
      <c r="A2073">
        <f>MATCH(B2073,STUDIES!$A$3:$A$502,0)</f>
        <v>87</v>
      </c>
      <c r="B2073" t="s">
        <v>1723</v>
      </c>
      <c r="C2073" s="456"/>
      <c r="D2073" t="s">
        <v>1725</v>
      </c>
      <c r="E2073" t="s">
        <v>1268</v>
      </c>
      <c r="F2073" s="456" t="str">
        <f>_xlfn.XLOOKUP(B2073,STUDIES!$A$3:$A$1063,STUDIES!$G$3:$G$1063,"Not Found!")</f>
        <v>A</v>
      </c>
      <c r="G2073" s="456" t="s">
        <v>147</v>
      </c>
      <c r="H2073">
        <v>16</v>
      </c>
      <c r="I2073">
        <v>19</v>
      </c>
      <c r="J2073">
        <v>1</v>
      </c>
      <c r="K2073"/>
      <c r="L2073"/>
      <c r="M2073"/>
      <c r="N2073"/>
      <c r="O2073"/>
      <c r="P2073"/>
      <c r="Q2073"/>
      <c r="R2073"/>
      <c r="S2073"/>
      <c r="T2073"/>
      <c r="U2073"/>
      <c r="V2073"/>
      <c r="W2073"/>
      <c r="X2073"/>
      <c r="Y2073"/>
      <c r="Z2073"/>
      <c r="AA2073"/>
      <c r="AB2073"/>
      <c r="AC2073"/>
      <c r="AD2073"/>
      <c r="AE2073"/>
      <c r="AF2073"/>
      <c r="AG2073"/>
      <c r="AH2073"/>
      <c r="AI2073"/>
      <c r="AJ2073"/>
      <c r="AK2073"/>
      <c r="AL2073"/>
      <c r="AM2073"/>
      <c r="AN2073"/>
      <c r="AO2073"/>
      <c r="AP2073"/>
      <c r="AQ2073"/>
      <c r="AR2073"/>
      <c r="AS2073"/>
      <c r="AT2073"/>
      <c r="AU2073"/>
    </row>
    <row r="2074" spans="1:47" ht="18" customHeight="1" x14ac:dyDescent="0.35">
      <c r="A2074">
        <f>MATCH(B2074,STUDIES!$A$3:$A$502,0)</f>
        <v>87</v>
      </c>
      <c r="B2074" t="s">
        <v>1723</v>
      </c>
      <c r="C2074" s="456"/>
      <c r="D2074" t="s">
        <v>1726</v>
      </c>
      <c r="E2074" t="s">
        <v>1268</v>
      </c>
      <c r="F2074" s="456" t="str">
        <f>_xlfn.XLOOKUP(B2074,STUDIES!$A$3:$A$1063,STUDIES!$G$3:$G$1063,"Not Found!")</f>
        <v>A</v>
      </c>
      <c r="G2074" s="456" t="s">
        <v>147</v>
      </c>
      <c r="H2074">
        <v>16</v>
      </c>
      <c r="I2074">
        <v>18</v>
      </c>
      <c r="J2074">
        <v>0</v>
      </c>
      <c r="K2074"/>
      <c r="L2074"/>
      <c r="M2074"/>
      <c r="N2074"/>
      <c r="O2074"/>
      <c r="P2074"/>
      <c r="Q2074"/>
      <c r="R2074"/>
      <c r="S2074"/>
      <c r="T2074"/>
      <c r="U2074"/>
      <c r="V2074"/>
      <c r="W2074"/>
      <c r="X2074"/>
      <c r="Y2074"/>
      <c r="Z2074"/>
      <c r="AA2074"/>
      <c r="AB2074"/>
      <c r="AC2074"/>
      <c r="AD2074"/>
      <c r="AE2074"/>
      <c r="AF2074"/>
      <c r="AG2074"/>
      <c r="AH2074"/>
      <c r="AI2074"/>
      <c r="AJ2074"/>
      <c r="AK2074"/>
      <c r="AL2074"/>
      <c r="AM2074"/>
      <c r="AN2074"/>
      <c r="AO2074"/>
      <c r="AP2074"/>
      <c r="AQ2074"/>
      <c r="AR2074"/>
      <c r="AS2074"/>
      <c r="AT2074"/>
      <c r="AU2074"/>
    </row>
    <row r="2075" spans="1:47" ht="18" customHeight="1" x14ac:dyDescent="0.35">
      <c r="A2075">
        <f>MATCH(B2075,STUDIES!$A$3:$A$502,0)</f>
        <v>87</v>
      </c>
      <c r="B2075" t="s">
        <v>1723</v>
      </c>
      <c r="C2075" s="456"/>
      <c r="D2075" t="s">
        <v>1727</v>
      </c>
      <c r="E2075" t="s">
        <v>1268</v>
      </c>
      <c r="F2075" s="456" t="str">
        <f>_xlfn.XLOOKUP(B2075,STUDIES!$A$3:$A$1063,STUDIES!$G$3:$G$1063,"Not Found!")</f>
        <v>A</v>
      </c>
      <c r="G2075" s="456" t="s">
        <v>147</v>
      </c>
      <c r="H2075">
        <v>16</v>
      </c>
      <c r="I2075">
        <v>55</v>
      </c>
      <c r="J2075">
        <v>5</v>
      </c>
      <c r="K2075"/>
      <c r="L2075"/>
      <c r="M2075"/>
      <c r="N2075"/>
      <c r="O2075"/>
      <c r="P2075"/>
      <c r="Q2075"/>
      <c r="R2075"/>
      <c r="S2075"/>
      <c r="T2075"/>
      <c r="U2075"/>
      <c r="V2075"/>
      <c r="W2075"/>
      <c r="X2075"/>
      <c r="Y2075"/>
      <c r="Z2075"/>
      <c r="AA2075"/>
      <c r="AB2075"/>
      <c r="AC2075"/>
      <c r="AD2075"/>
      <c r="AE2075"/>
      <c r="AF2075"/>
      <c r="AG2075"/>
      <c r="AH2075"/>
      <c r="AI2075"/>
      <c r="AJ2075"/>
      <c r="AK2075"/>
      <c r="AL2075"/>
      <c r="AM2075"/>
      <c r="AN2075"/>
      <c r="AO2075"/>
      <c r="AP2075"/>
      <c r="AQ2075"/>
      <c r="AR2075"/>
      <c r="AS2075"/>
      <c r="AT2075"/>
      <c r="AU2075"/>
    </row>
    <row r="2076" spans="1:47" ht="18" customHeight="1" x14ac:dyDescent="0.35">
      <c r="A2076">
        <f>MATCH(B2076,STUDIES!$A$3:$A$502,0)</f>
        <v>87</v>
      </c>
      <c r="B2076" t="s">
        <v>1723</v>
      </c>
      <c r="C2076" s="456"/>
      <c r="D2076" t="s">
        <v>148</v>
      </c>
      <c r="E2076" t="s">
        <v>695</v>
      </c>
      <c r="F2076" s="456" t="str">
        <f>_xlfn.XLOOKUP(B2076,STUDIES!$A$3:$A$1063,STUDIES!$G$3:$G$1063,"Not Found!")</f>
        <v>A</v>
      </c>
      <c r="G2076" s="456" t="s">
        <v>147</v>
      </c>
      <c r="H2076">
        <v>16</v>
      </c>
      <c r="I2076">
        <v>55</v>
      </c>
      <c r="J2076"/>
      <c r="K2076"/>
      <c r="L2076"/>
      <c r="M2076"/>
      <c r="N2076"/>
      <c r="O2076"/>
      <c r="P2076"/>
      <c r="Q2076"/>
      <c r="R2076">
        <v>-1.41</v>
      </c>
      <c r="S2076"/>
      <c r="T2076">
        <v>0.35599999999999998</v>
      </c>
      <c r="U2076"/>
      <c r="V2076"/>
      <c r="W2076"/>
      <c r="X2076"/>
      <c r="Y2076"/>
      <c r="Z2076"/>
      <c r="AA2076"/>
      <c r="AB2076"/>
      <c r="AC2076"/>
      <c r="AD2076"/>
      <c r="AE2076"/>
      <c r="AF2076"/>
      <c r="AG2076"/>
      <c r="AH2076"/>
      <c r="AI2076"/>
      <c r="AJ2076"/>
      <c r="AK2076"/>
      <c r="AL2076"/>
      <c r="AM2076"/>
      <c r="AN2076"/>
      <c r="AO2076"/>
      <c r="AP2076"/>
      <c r="AQ2076"/>
      <c r="AR2076"/>
      <c r="AS2076"/>
      <c r="AT2076"/>
      <c r="AU2076"/>
    </row>
    <row r="2077" spans="1:47" ht="18" customHeight="1" x14ac:dyDescent="0.35">
      <c r="A2077">
        <f>MATCH(B2077,STUDIES!$A$3:$A$502,0)</f>
        <v>87</v>
      </c>
      <c r="B2077" t="s">
        <v>1723</v>
      </c>
      <c r="C2077" s="456"/>
      <c r="D2077" t="s">
        <v>1725</v>
      </c>
      <c r="E2077" t="s">
        <v>695</v>
      </c>
      <c r="F2077" s="456" t="str">
        <f>_xlfn.XLOOKUP(B2077,STUDIES!$A$3:$A$1063,STUDIES!$G$3:$G$1063,"Not Found!")</f>
        <v>A</v>
      </c>
      <c r="G2077" s="456" t="s">
        <v>147</v>
      </c>
      <c r="H2077">
        <v>16</v>
      </c>
      <c r="I2077">
        <v>19</v>
      </c>
      <c r="J2077"/>
      <c r="K2077"/>
      <c r="L2077"/>
      <c r="M2077"/>
      <c r="N2077"/>
      <c r="O2077"/>
      <c r="P2077"/>
      <c r="Q2077"/>
      <c r="R2077">
        <v>-1.06</v>
      </c>
      <c r="S2077"/>
      <c r="T2077">
        <v>0.51900000000000002</v>
      </c>
      <c r="U2077"/>
      <c r="V2077"/>
      <c r="W2077"/>
      <c r="X2077"/>
      <c r="Y2077"/>
      <c r="Z2077"/>
      <c r="AA2077"/>
      <c r="AB2077"/>
      <c r="AC2077"/>
      <c r="AD2077"/>
      <c r="AE2077"/>
      <c r="AF2077"/>
      <c r="AG2077"/>
      <c r="AH2077"/>
      <c r="AI2077"/>
      <c r="AJ2077"/>
      <c r="AK2077"/>
      <c r="AL2077"/>
      <c r="AM2077"/>
      <c r="AN2077"/>
      <c r="AO2077"/>
      <c r="AP2077"/>
      <c r="AQ2077"/>
      <c r="AR2077"/>
      <c r="AS2077"/>
      <c r="AT2077"/>
      <c r="AU2077"/>
    </row>
    <row r="2078" spans="1:47" ht="18" customHeight="1" x14ac:dyDescent="0.35">
      <c r="A2078">
        <f>MATCH(B2078,STUDIES!$A$3:$A$502,0)</f>
        <v>87</v>
      </c>
      <c r="B2078" t="s">
        <v>1723</v>
      </c>
      <c r="C2078" s="456"/>
      <c r="D2078" t="s">
        <v>1726</v>
      </c>
      <c r="E2078" t="s">
        <v>695</v>
      </c>
      <c r="F2078" s="456" t="str">
        <f>_xlfn.XLOOKUP(B2078,STUDIES!$A$3:$A$1063,STUDIES!$G$3:$G$1063,"Not Found!")</f>
        <v>A</v>
      </c>
      <c r="G2078" s="456" t="s">
        <v>147</v>
      </c>
      <c r="H2078">
        <v>16</v>
      </c>
      <c r="I2078">
        <v>18</v>
      </c>
      <c r="J2078"/>
      <c r="K2078"/>
      <c r="L2078"/>
      <c r="M2078"/>
      <c r="N2078"/>
      <c r="O2078"/>
      <c r="P2078"/>
      <c r="Q2078"/>
      <c r="R2078">
        <v>-2.0099999999999998</v>
      </c>
      <c r="S2078"/>
      <c r="T2078">
        <v>0.59499999999999997</v>
      </c>
      <c r="U2078"/>
      <c r="V2078"/>
      <c r="W2078"/>
      <c r="X2078"/>
      <c r="Y2078"/>
      <c r="Z2078"/>
      <c r="AA2078"/>
      <c r="AB2078"/>
      <c r="AC2078"/>
      <c r="AD2078"/>
      <c r="AE2078"/>
      <c r="AF2078"/>
      <c r="AG2078"/>
      <c r="AH2078"/>
      <c r="AI2078"/>
      <c r="AJ2078"/>
      <c r="AK2078"/>
      <c r="AL2078"/>
      <c r="AM2078"/>
      <c r="AN2078"/>
      <c r="AO2078"/>
      <c r="AP2078"/>
      <c r="AQ2078"/>
      <c r="AR2078"/>
      <c r="AS2078"/>
      <c r="AT2078"/>
      <c r="AU2078"/>
    </row>
    <row r="2079" spans="1:47" ht="18" customHeight="1" x14ac:dyDescent="0.35">
      <c r="A2079">
        <f>MATCH(B2079,STUDIES!$A$3:$A$502,0)</f>
        <v>87</v>
      </c>
      <c r="B2079" t="s">
        <v>1723</v>
      </c>
      <c r="C2079" s="456"/>
      <c r="D2079" t="s">
        <v>1727</v>
      </c>
      <c r="E2079" t="s">
        <v>695</v>
      </c>
      <c r="F2079" s="456" t="str">
        <f>_xlfn.XLOOKUP(B2079,STUDIES!$A$3:$A$1063,STUDIES!$G$3:$G$1063,"Not Found!")</f>
        <v>A</v>
      </c>
      <c r="G2079" s="456" t="s">
        <v>147</v>
      </c>
      <c r="H2079">
        <v>16</v>
      </c>
      <c r="I2079">
        <v>55</v>
      </c>
      <c r="J2079"/>
      <c r="K2079"/>
      <c r="L2079"/>
      <c r="M2079"/>
      <c r="N2079"/>
      <c r="O2079"/>
      <c r="P2079"/>
      <c r="Q2079"/>
      <c r="R2079">
        <v>-2.2400000000000002</v>
      </c>
      <c r="S2079"/>
      <c r="T2079">
        <v>0.34799999999999998</v>
      </c>
      <c r="U2079"/>
      <c r="V2079"/>
      <c r="W2079"/>
      <c r="X2079"/>
      <c r="Y2079"/>
      <c r="Z2079"/>
      <c r="AA2079"/>
      <c r="AB2079"/>
      <c r="AC2079"/>
      <c r="AD2079"/>
      <c r="AE2079"/>
      <c r="AF2079"/>
      <c r="AG2079"/>
      <c r="AH2079"/>
      <c r="AI2079"/>
      <c r="AJ2079"/>
      <c r="AK2079"/>
      <c r="AL2079"/>
      <c r="AM2079"/>
      <c r="AN2079"/>
      <c r="AO2079"/>
      <c r="AP2079"/>
      <c r="AQ2079"/>
      <c r="AR2079"/>
      <c r="AS2079"/>
      <c r="AT2079"/>
      <c r="AU2079"/>
    </row>
    <row r="2080" spans="1:47" ht="18" customHeight="1" x14ac:dyDescent="0.35">
      <c r="A2080">
        <f>MATCH(B2080,STUDIES!$A$3:$A$502,0)</f>
        <v>87</v>
      </c>
      <c r="B2080" t="s">
        <v>1723</v>
      </c>
      <c r="C2080" s="456"/>
      <c r="D2080" t="s">
        <v>148</v>
      </c>
      <c r="E2080" t="s">
        <v>154</v>
      </c>
      <c r="F2080" s="456" t="str">
        <f>_xlfn.XLOOKUP(B2080,STUDIES!$A$3:$A$1063,STUDIES!$G$3:$G$1063,"Not Found!")</f>
        <v>A</v>
      </c>
      <c r="G2080" s="456" t="s">
        <v>147</v>
      </c>
      <c r="H2080">
        <v>16</v>
      </c>
      <c r="I2080">
        <v>38</v>
      </c>
      <c r="J2080"/>
      <c r="K2080"/>
      <c r="L2080"/>
      <c r="M2080"/>
      <c r="N2080"/>
      <c r="O2080"/>
      <c r="P2080"/>
      <c r="Q2080"/>
      <c r="R2080">
        <v>-2.9</v>
      </c>
      <c r="S2080"/>
      <c r="T2080">
        <v>5.3</v>
      </c>
      <c r="U2080"/>
      <c r="V2080"/>
      <c r="W2080"/>
      <c r="X2080"/>
      <c r="Y2080"/>
      <c r="Z2080"/>
      <c r="AA2080"/>
      <c r="AB2080"/>
      <c r="AC2080"/>
      <c r="AD2080"/>
      <c r="AE2080"/>
      <c r="AF2080"/>
      <c r="AG2080"/>
      <c r="AH2080"/>
      <c r="AI2080"/>
      <c r="AJ2080"/>
      <c r="AK2080"/>
      <c r="AL2080"/>
      <c r="AM2080"/>
      <c r="AN2080"/>
      <c r="AO2080"/>
      <c r="AP2080"/>
      <c r="AQ2080"/>
      <c r="AR2080"/>
      <c r="AS2080"/>
      <c r="AT2080"/>
      <c r="AU2080"/>
    </row>
    <row r="2081" spans="1:47" ht="18" customHeight="1" x14ac:dyDescent="0.35">
      <c r="A2081">
        <f>MATCH(B2081,STUDIES!$A$3:$A$502,0)</f>
        <v>87</v>
      </c>
      <c r="B2081" t="s">
        <v>1723</v>
      </c>
      <c r="C2081" s="456"/>
      <c r="D2081" t="s">
        <v>1725</v>
      </c>
      <c r="E2081" t="s">
        <v>154</v>
      </c>
      <c r="F2081" s="456" t="str">
        <f>_xlfn.XLOOKUP(B2081,STUDIES!$A$3:$A$1063,STUDIES!$G$3:$G$1063,"Not Found!")</f>
        <v>A</v>
      </c>
      <c r="G2081" s="456" t="s">
        <v>147</v>
      </c>
      <c r="H2081">
        <v>16</v>
      </c>
      <c r="I2081">
        <v>15</v>
      </c>
      <c r="J2081"/>
      <c r="K2081"/>
      <c r="L2081"/>
      <c r="M2081"/>
      <c r="N2081"/>
      <c r="O2081"/>
      <c r="P2081"/>
      <c r="Q2081"/>
      <c r="R2081">
        <v>-2.1</v>
      </c>
      <c r="S2081"/>
      <c r="T2081">
        <v>6.5</v>
      </c>
      <c r="U2081"/>
      <c r="V2081"/>
      <c r="W2081"/>
      <c r="X2081"/>
      <c r="Y2081"/>
      <c r="Z2081"/>
      <c r="AA2081"/>
      <c r="AB2081"/>
      <c r="AC2081"/>
      <c r="AD2081"/>
      <c r="AE2081"/>
      <c r="AF2081"/>
      <c r="AG2081"/>
      <c r="AH2081"/>
      <c r="AI2081"/>
      <c r="AJ2081"/>
      <c r="AK2081"/>
      <c r="AL2081"/>
      <c r="AM2081"/>
      <c r="AN2081"/>
      <c r="AO2081"/>
      <c r="AP2081"/>
      <c r="AQ2081"/>
      <c r="AR2081"/>
      <c r="AS2081"/>
      <c r="AT2081"/>
      <c r="AU2081"/>
    </row>
    <row r="2082" spans="1:47" ht="18" customHeight="1" x14ac:dyDescent="0.35">
      <c r="A2082">
        <f>MATCH(B2082,STUDIES!$A$3:$A$502,0)</f>
        <v>87</v>
      </c>
      <c r="B2082" t="s">
        <v>1723</v>
      </c>
      <c r="C2082" s="456"/>
      <c r="D2082" t="s">
        <v>1726</v>
      </c>
      <c r="E2082" t="s">
        <v>154</v>
      </c>
      <c r="F2082" s="456" t="str">
        <f>_xlfn.XLOOKUP(B2082,STUDIES!$A$3:$A$1063,STUDIES!$G$3:$G$1063,"Not Found!")</f>
        <v>A</v>
      </c>
      <c r="G2082" s="456" t="s">
        <v>147</v>
      </c>
      <c r="H2082">
        <v>16</v>
      </c>
      <c r="I2082">
        <v>12</v>
      </c>
      <c r="J2082"/>
      <c r="K2082"/>
      <c r="L2082"/>
      <c r="M2082"/>
      <c r="N2082"/>
      <c r="O2082"/>
      <c r="P2082"/>
      <c r="Q2082"/>
      <c r="R2082">
        <v>-2.4</v>
      </c>
      <c r="S2082"/>
      <c r="T2082">
        <v>4.9000000000000004</v>
      </c>
      <c r="U2082"/>
      <c r="V2082"/>
      <c r="W2082"/>
      <c r="X2082"/>
      <c r="Y2082"/>
      <c r="Z2082"/>
      <c r="AA2082"/>
      <c r="AB2082"/>
      <c r="AC2082"/>
      <c r="AD2082"/>
      <c r="AE2082"/>
      <c r="AF2082"/>
      <c r="AG2082"/>
      <c r="AH2082"/>
      <c r="AI2082"/>
      <c r="AJ2082"/>
      <c r="AK2082"/>
      <c r="AL2082"/>
      <c r="AM2082"/>
      <c r="AN2082"/>
      <c r="AO2082"/>
      <c r="AP2082"/>
      <c r="AQ2082"/>
      <c r="AR2082"/>
      <c r="AS2082"/>
      <c r="AT2082"/>
      <c r="AU2082"/>
    </row>
    <row r="2083" spans="1:47" ht="18" customHeight="1" x14ac:dyDescent="0.35">
      <c r="A2083">
        <f>MATCH(B2083,STUDIES!$A$3:$A$502,0)</f>
        <v>87</v>
      </c>
      <c r="B2083" t="s">
        <v>1723</v>
      </c>
      <c r="C2083" s="456"/>
      <c r="D2083" t="s">
        <v>1727</v>
      </c>
      <c r="E2083" t="s">
        <v>154</v>
      </c>
      <c r="F2083" s="456" t="str">
        <f>_xlfn.XLOOKUP(B2083,STUDIES!$A$3:$A$1063,STUDIES!$G$3:$G$1063,"Not Found!")</f>
        <v>A</v>
      </c>
      <c r="G2083" s="456" t="s">
        <v>147</v>
      </c>
      <c r="H2083">
        <v>16</v>
      </c>
      <c r="I2083">
        <v>40</v>
      </c>
      <c r="J2083"/>
      <c r="K2083"/>
      <c r="L2083"/>
      <c r="M2083"/>
      <c r="N2083"/>
      <c r="O2083"/>
      <c r="P2083"/>
      <c r="Q2083"/>
      <c r="R2083">
        <v>-2.7</v>
      </c>
      <c r="S2083"/>
      <c r="T2083">
        <v>4.9000000000000004</v>
      </c>
      <c r="U2083"/>
      <c r="V2083"/>
      <c r="W2083"/>
      <c r="X2083"/>
      <c r="Y2083"/>
      <c r="Z2083"/>
      <c r="AA2083"/>
      <c r="AB2083"/>
      <c r="AC2083"/>
      <c r="AD2083"/>
      <c r="AE2083"/>
      <c r="AF2083"/>
      <c r="AG2083"/>
      <c r="AH2083"/>
      <c r="AI2083"/>
      <c r="AJ2083"/>
      <c r="AK2083"/>
      <c r="AL2083"/>
      <c r="AM2083"/>
      <c r="AN2083"/>
      <c r="AO2083"/>
      <c r="AP2083"/>
      <c r="AQ2083"/>
      <c r="AR2083"/>
      <c r="AS2083"/>
      <c r="AT2083"/>
      <c r="AU2083"/>
    </row>
    <row r="2084" spans="1:47" ht="18" customHeight="1" x14ac:dyDescent="0.35">
      <c r="A2084">
        <f>MATCH(B2084,STUDIES!$A$3:$A$502,0)</f>
        <v>87</v>
      </c>
      <c r="B2084" t="s">
        <v>1723</v>
      </c>
      <c r="C2084" s="456"/>
      <c r="D2084" t="s">
        <v>148</v>
      </c>
      <c r="E2084" t="s">
        <v>153</v>
      </c>
      <c r="F2084" s="456" t="str">
        <f>_xlfn.XLOOKUP(B2084,STUDIES!$A$3:$A$1063,STUDIES!$G$3:$G$1063,"Not Found!")</f>
        <v>A</v>
      </c>
      <c r="G2084" s="456" t="s">
        <v>147</v>
      </c>
      <c r="H2084">
        <v>16</v>
      </c>
      <c r="I2084">
        <v>38</v>
      </c>
      <c r="J2084"/>
      <c r="K2084"/>
      <c r="L2084"/>
      <c r="M2084"/>
      <c r="N2084"/>
      <c r="O2084"/>
      <c r="P2084"/>
      <c r="Q2084"/>
      <c r="R2084">
        <v>-5.4</v>
      </c>
      <c r="S2084"/>
      <c r="T2084">
        <v>7.9</v>
      </c>
      <c r="U2084"/>
      <c r="V2084"/>
      <c r="W2084"/>
      <c r="X2084"/>
      <c r="Y2084"/>
      <c r="Z2084"/>
      <c r="AA2084"/>
      <c r="AB2084"/>
      <c r="AC2084"/>
      <c r="AD2084"/>
      <c r="AE2084"/>
      <c r="AF2084"/>
      <c r="AG2084"/>
      <c r="AH2084"/>
      <c r="AI2084"/>
      <c r="AJ2084"/>
      <c r="AK2084"/>
      <c r="AL2084"/>
      <c r="AM2084"/>
      <c r="AN2084"/>
      <c r="AO2084"/>
      <c r="AP2084"/>
      <c r="AQ2084"/>
      <c r="AR2084"/>
      <c r="AS2084"/>
      <c r="AT2084"/>
      <c r="AU2084"/>
    </row>
    <row r="2085" spans="1:47" ht="18" customHeight="1" x14ac:dyDescent="0.35">
      <c r="A2085">
        <f>MATCH(B2085,STUDIES!$A$3:$A$502,0)</f>
        <v>87</v>
      </c>
      <c r="B2085" t="s">
        <v>1723</v>
      </c>
      <c r="C2085" s="456"/>
      <c r="D2085" t="s">
        <v>1725</v>
      </c>
      <c r="E2085" t="s">
        <v>153</v>
      </c>
      <c r="F2085" s="456" t="str">
        <f>_xlfn.XLOOKUP(B2085,STUDIES!$A$3:$A$1063,STUDIES!$G$3:$G$1063,"Not Found!")</f>
        <v>A</v>
      </c>
      <c r="G2085" s="456" t="s">
        <v>147</v>
      </c>
      <c r="H2085">
        <v>16</v>
      </c>
      <c r="I2085">
        <v>15</v>
      </c>
      <c r="J2085"/>
      <c r="K2085"/>
      <c r="L2085"/>
      <c r="M2085"/>
      <c r="N2085"/>
      <c r="O2085"/>
      <c r="P2085"/>
      <c r="Q2085"/>
      <c r="R2085">
        <v>-2.5</v>
      </c>
      <c r="S2085"/>
      <c r="T2085">
        <v>4.8</v>
      </c>
      <c r="U2085"/>
      <c r="V2085"/>
      <c r="W2085"/>
      <c r="X2085"/>
      <c r="Y2085"/>
      <c r="Z2085"/>
      <c r="AA2085"/>
      <c r="AB2085"/>
      <c r="AC2085"/>
      <c r="AD2085"/>
      <c r="AE2085"/>
      <c r="AF2085"/>
      <c r="AG2085"/>
      <c r="AH2085"/>
      <c r="AI2085"/>
      <c r="AJ2085"/>
      <c r="AK2085"/>
      <c r="AL2085"/>
      <c r="AM2085"/>
      <c r="AN2085"/>
      <c r="AO2085"/>
      <c r="AP2085"/>
      <c r="AQ2085"/>
      <c r="AR2085"/>
      <c r="AS2085"/>
      <c r="AT2085"/>
      <c r="AU2085"/>
    </row>
    <row r="2086" spans="1:47" ht="18" customHeight="1" x14ac:dyDescent="0.35">
      <c r="A2086">
        <f>MATCH(B2086,STUDIES!$A$3:$A$502,0)</f>
        <v>87</v>
      </c>
      <c r="B2086" t="s">
        <v>1723</v>
      </c>
      <c r="C2086" s="456"/>
      <c r="D2086" t="s">
        <v>1726</v>
      </c>
      <c r="E2086" t="s">
        <v>153</v>
      </c>
      <c r="F2086" s="456" t="str">
        <f>_xlfn.XLOOKUP(B2086,STUDIES!$A$3:$A$1063,STUDIES!$G$3:$G$1063,"Not Found!")</f>
        <v>A</v>
      </c>
      <c r="G2086" s="456" t="s">
        <v>147</v>
      </c>
      <c r="H2086">
        <v>16</v>
      </c>
      <c r="I2086">
        <v>12</v>
      </c>
      <c r="J2086"/>
      <c r="K2086"/>
      <c r="L2086"/>
      <c r="M2086"/>
      <c r="N2086"/>
      <c r="O2086"/>
      <c r="P2086"/>
      <c r="Q2086"/>
      <c r="R2086">
        <v>-3.7</v>
      </c>
      <c r="S2086"/>
      <c r="T2086">
        <v>8.6999999999999993</v>
      </c>
      <c r="U2086"/>
      <c r="V2086"/>
      <c r="W2086"/>
      <c r="X2086"/>
      <c r="Y2086"/>
      <c r="Z2086"/>
      <c r="AA2086"/>
      <c r="AB2086"/>
      <c r="AC2086"/>
      <c r="AD2086"/>
      <c r="AE2086"/>
      <c r="AF2086"/>
      <c r="AG2086"/>
      <c r="AH2086"/>
      <c r="AI2086"/>
      <c r="AJ2086"/>
      <c r="AK2086"/>
      <c r="AL2086"/>
      <c r="AM2086"/>
      <c r="AN2086"/>
      <c r="AO2086"/>
      <c r="AP2086"/>
      <c r="AQ2086"/>
      <c r="AR2086"/>
      <c r="AS2086"/>
      <c r="AT2086"/>
      <c r="AU2086"/>
    </row>
    <row r="2087" spans="1:47" ht="18" customHeight="1" x14ac:dyDescent="0.35">
      <c r="A2087">
        <f>MATCH(B2087,STUDIES!$A$3:$A$502,0)</f>
        <v>87</v>
      </c>
      <c r="B2087" t="s">
        <v>1723</v>
      </c>
      <c r="C2087" s="456"/>
      <c r="D2087" t="s">
        <v>1727</v>
      </c>
      <c r="E2087" t="s">
        <v>153</v>
      </c>
      <c r="F2087" s="456" t="str">
        <f>_xlfn.XLOOKUP(B2087,STUDIES!$A$3:$A$1063,STUDIES!$G$3:$G$1063,"Not Found!")</f>
        <v>A</v>
      </c>
      <c r="G2087" s="456" t="s">
        <v>147</v>
      </c>
      <c r="H2087">
        <v>16</v>
      </c>
      <c r="I2087">
        <v>40</v>
      </c>
      <c r="J2087"/>
      <c r="K2087"/>
      <c r="L2087"/>
      <c r="M2087"/>
      <c r="N2087"/>
      <c r="O2087"/>
      <c r="P2087"/>
      <c r="Q2087"/>
      <c r="R2087">
        <v>-6.3</v>
      </c>
      <c r="S2087"/>
      <c r="T2087">
        <v>6.9</v>
      </c>
      <c r="U2087"/>
      <c r="V2087"/>
      <c r="W2087"/>
      <c r="X2087"/>
      <c r="Y2087"/>
      <c r="Z2087"/>
      <c r="AA2087"/>
      <c r="AB2087"/>
      <c r="AC2087"/>
      <c r="AD2087"/>
      <c r="AE2087"/>
      <c r="AF2087"/>
      <c r="AG2087"/>
      <c r="AH2087"/>
      <c r="AI2087"/>
      <c r="AJ2087"/>
      <c r="AK2087"/>
      <c r="AL2087"/>
      <c r="AM2087"/>
      <c r="AN2087"/>
      <c r="AO2087"/>
      <c r="AP2087"/>
      <c r="AQ2087"/>
      <c r="AR2087"/>
      <c r="AS2087"/>
      <c r="AT2087"/>
      <c r="AU2087"/>
    </row>
    <row r="2088" spans="1:47" ht="18" customHeight="1" x14ac:dyDescent="0.35">
      <c r="A2088">
        <f>MATCH(B2088,STUDIES!$A$3:$A$502,0)</f>
        <v>87</v>
      </c>
      <c r="B2088" t="s">
        <v>1723</v>
      </c>
      <c r="C2088" s="456"/>
      <c r="D2088" t="s">
        <v>148</v>
      </c>
      <c r="E2088" t="s">
        <v>1163</v>
      </c>
      <c r="F2088" s="456" t="str">
        <f>_xlfn.XLOOKUP(B2088,STUDIES!$A$3:$A$1063,STUDIES!$G$3:$G$1063,"Not Found!")</f>
        <v>A</v>
      </c>
      <c r="G2088" s="456" t="s">
        <v>147</v>
      </c>
      <c r="H2088">
        <v>16</v>
      </c>
      <c r="I2088">
        <v>56</v>
      </c>
      <c r="J2088">
        <v>2</v>
      </c>
      <c r="K2088"/>
      <c r="L2088"/>
      <c r="M2088"/>
      <c r="N2088"/>
      <c r="O2088"/>
      <c r="P2088"/>
      <c r="Q2088"/>
      <c r="R2088"/>
      <c r="S2088"/>
      <c r="T2088"/>
      <c r="U2088"/>
      <c r="V2088"/>
      <c r="W2088"/>
      <c r="X2088"/>
      <c r="Y2088"/>
      <c r="Z2088"/>
      <c r="AA2088"/>
      <c r="AB2088"/>
      <c r="AC2088"/>
      <c r="AD2088"/>
      <c r="AE2088"/>
      <c r="AF2088"/>
      <c r="AG2088"/>
      <c r="AH2088"/>
      <c r="AI2088"/>
      <c r="AJ2088"/>
      <c r="AK2088"/>
      <c r="AL2088"/>
      <c r="AM2088"/>
      <c r="AN2088"/>
      <c r="AO2088"/>
      <c r="AP2088"/>
      <c r="AQ2088"/>
      <c r="AR2088"/>
      <c r="AS2088"/>
      <c r="AT2088"/>
      <c r="AU2088"/>
    </row>
    <row r="2089" spans="1:47" ht="18" customHeight="1" x14ac:dyDescent="0.35">
      <c r="A2089">
        <f>MATCH(B2089,STUDIES!$A$3:$A$502,0)</f>
        <v>87</v>
      </c>
      <c r="B2089" t="s">
        <v>1723</v>
      </c>
      <c r="C2089" s="456"/>
      <c r="D2089" t="s">
        <v>1725</v>
      </c>
      <c r="E2089" t="s">
        <v>1163</v>
      </c>
      <c r="F2089" s="456" t="str">
        <f>_xlfn.XLOOKUP(B2089,STUDIES!$A$3:$A$1063,STUDIES!$G$3:$G$1063,"Not Found!")</f>
        <v>A</v>
      </c>
      <c r="G2089" s="456" t="s">
        <v>147</v>
      </c>
      <c r="H2089">
        <v>16</v>
      </c>
      <c r="I2089">
        <v>19</v>
      </c>
      <c r="J2089">
        <v>0</v>
      </c>
      <c r="K2089"/>
      <c r="L2089"/>
      <c r="M2089"/>
      <c r="N2089"/>
      <c r="O2089"/>
      <c r="P2089"/>
      <c r="Q2089"/>
      <c r="R2089"/>
      <c r="S2089"/>
      <c r="T2089"/>
      <c r="U2089"/>
      <c r="V2089"/>
      <c r="W2089"/>
      <c r="X2089"/>
      <c r="Y2089"/>
      <c r="Z2089"/>
      <c r="AA2089"/>
      <c r="AB2089"/>
      <c r="AC2089"/>
      <c r="AD2089"/>
      <c r="AE2089"/>
      <c r="AF2089"/>
      <c r="AG2089"/>
      <c r="AH2089"/>
      <c r="AI2089"/>
      <c r="AJ2089"/>
      <c r="AK2089"/>
      <c r="AL2089"/>
      <c r="AM2089"/>
      <c r="AN2089"/>
      <c r="AO2089"/>
      <c r="AP2089"/>
      <c r="AQ2089"/>
      <c r="AR2089"/>
      <c r="AS2089"/>
      <c r="AT2089"/>
      <c r="AU2089"/>
    </row>
    <row r="2090" spans="1:47" ht="18" customHeight="1" x14ac:dyDescent="0.35">
      <c r="A2090">
        <f>MATCH(B2090,STUDIES!$A$3:$A$502,0)</f>
        <v>87</v>
      </c>
      <c r="B2090" t="s">
        <v>1723</v>
      </c>
      <c r="C2090" s="456"/>
      <c r="D2090" t="s">
        <v>1726</v>
      </c>
      <c r="E2090" t="s">
        <v>1163</v>
      </c>
      <c r="F2090" s="456" t="str">
        <f>_xlfn.XLOOKUP(B2090,STUDIES!$A$3:$A$1063,STUDIES!$G$3:$G$1063,"Not Found!")</f>
        <v>A</v>
      </c>
      <c r="G2090" s="456" t="s">
        <v>147</v>
      </c>
      <c r="H2090">
        <v>16</v>
      </c>
      <c r="I2090">
        <v>18</v>
      </c>
      <c r="J2090">
        <v>2</v>
      </c>
      <c r="K2090"/>
      <c r="L2090"/>
      <c r="M2090"/>
      <c r="N2090"/>
      <c r="O2090"/>
      <c r="P2090"/>
      <c r="Q2090"/>
      <c r="R2090"/>
      <c r="S2090"/>
      <c r="T2090"/>
      <c r="U2090"/>
      <c r="V2090"/>
      <c r="W2090"/>
      <c r="X2090"/>
      <c r="Y2090"/>
      <c r="Z2090"/>
      <c r="AA2090"/>
      <c r="AB2090"/>
      <c r="AC2090"/>
      <c r="AD2090"/>
      <c r="AE2090"/>
      <c r="AF2090"/>
      <c r="AG2090"/>
      <c r="AH2090"/>
      <c r="AI2090"/>
      <c r="AJ2090"/>
      <c r="AK2090"/>
      <c r="AL2090"/>
      <c r="AM2090"/>
      <c r="AN2090"/>
      <c r="AO2090"/>
      <c r="AP2090"/>
      <c r="AQ2090"/>
      <c r="AR2090"/>
      <c r="AS2090"/>
      <c r="AT2090"/>
      <c r="AU2090"/>
    </row>
    <row r="2091" spans="1:47" ht="18" customHeight="1" x14ac:dyDescent="0.35">
      <c r="A2091">
        <f>MATCH(B2091,STUDIES!$A$3:$A$502,0)</f>
        <v>87</v>
      </c>
      <c r="B2091" t="s">
        <v>1723</v>
      </c>
      <c r="C2091" s="456"/>
      <c r="D2091" t="s">
        <v>1727</v>
      </c>
      <c r="E2091" t="s">
        <v>1163</v>
      </c>
      <c r="F2091" s="456" t="str">
        <f>_xlfn.XLOOKUP(B2091,STUDIES!$A$3:$A$1063,STUDIES!$G$3:$G$1063,"Not Found!")</f>
        <v>A</v>
      </c>
      <c r="G2091" s="456" t="s">
        <v>147</v>
      </c>
      <c r="H2091">
        <v>16</v>
      </c>
      <c r="I2091">
        <v>55</v>
      </c>
      <c r="J2091">
        <v>1</v>
      </c>
      <c r="K2091"/>
      <c r="L2091"/>
      <c r="M2091"/>
      <c r="N2091"/>
      <c r="O2091"/>
      <c r="P2091"/>
      <c r="Q2091"/>
      <c r="R2091"/>
      <c r="S2091"/>
      <c r="T2091"/>
      <c r="U2091"/>
      <c r="V2091"/>
      <c r="W2091"/>
      <c r="X2091"/>
      <c r="Y2091"/>
      <c r="Z2091"/>
      <c r="AA2091"/>
      <c r="AB2091"/>
      <c r="AC2091"/>
      <c r="AD2091"/>
      <c r="AE2091"/>
      <c r="AF2091"/>
      <c r="AG2091"/>
      <c r="AH2091"/>
      <c r="AI2091"/>
      <c r="AJ2091"/>
      <c r="AK2091"/>
      <c r="AL2091"/>
      <c r="AM2091"/>
      <c r="AN2091"/>
      <c r="AO2091"/>
      <c r="AP2091"/>
      <c r="AQ2091"/>
      <c r="AR2091"/>
      <c r="AS2091"/>
      <c r="AT2091"/>
      <c r="AU2091"/>
    </row>
    <row r="2092" spans="1:47" ht="18" customHeight="1" x14ac:dyDescent="0.35">
      <c r="A2092">
        <f>MATCH(B2092,STUDIES!$A$3:$A$502,0)</f>
        <v>87</v>
      </c>
      <c r="B2092" t="s">
        <v>1723</v>
      </c>
      <c r="C2092" s="456"/>
      <c r="D2092" t="s">
        <v>148</v>
      </c>
      <c r="E2092" t="s">
        <v>1167</v>
      </c>
      <c r="F2092" s="456" t="str">
        <f>_xlfn.XLOOKUP(B2092,STUDIES!$A$3:$A$1063,STUDIES!$G$3:$G$1063,"Not Found!")</f>
        <v>A</v>
      </c>
      <c r="G2092" s="456" t="s">
        <v>147</v>
      </c>
      <c r="H2092">
        <v>16</v>
      </c>
      <c r="I2092">
        <v>56</v>
      </c>
      <c r="J2092">
        <v>0</v>
      </c>
      <c r="K2092"/>
      <c r="L2092"/>
      <c r="M2092"/>
      <c r="N2092"/>
      <c r="O2092"/>
      <c r="P2092"/>
      <c r="Q2092"/>
      <c r="R2092"/>
      <c r="S2092"/>
      <c r="T2092"/>
      <c r="U2092"/>
      <c r="V2092"/>
      <c r="W2092"/>
      <c r="X2092"/>
      <c r="Y2092"/>
      <c r="Z2092"/>
      <c r="AA2092"/>
      <c r="AB2092"/>
      <c r="AC2092"/>
      <c r="AD2092"/>
      <c r="AE2092"/>
      <c r="AF2092"/>
      <c r="AG2092"/>
      <c r="AH2092"/>
      <c r="AI2092"/>
      <c r="AJ2092"/>
      <c r="AK2092"/>
      <c r="AL2092"/>
      <c r="AM2092"/>
      <c r="AN2092"/>
      <c r="AO2092"/>
      <c r="AP2092"/>
      <c r="AQ2092"/>
      <c r="AR2092"/>
      <c r="AS2092"/>
      <c r="AT2092"/>
      <c r="AU2092"/>
    </row>
    <row r="2093" spans="1:47" ht="18" customHeight="1" x14ac:dyDescent="0.35">
      <c r="A2093">
        <f>MATCH(B2093,STUDIES!$A$3:$A$502,0)</f>
        <v>87</v>
      </c>
      <c r="B2093" t="s">
        <v>1723</v>
      </c>
      <c r="C2093" s="456"/>
      <c r="D2093" t="s">
        <v>1725</v>
      </c>
      <c r="E2093" t="s">
        <v>1167</v>
      </c>
      <c r="F2093" s="456" t="str">
        <f>_xlfn.XLOOKUP(B2093,STUDIES!$A$3:$A$1063,STUDIES!$G$3:$G$1063,"Not Found!")</f>
        <v>A</v>
      </c>
      <c r="G2093" s="456" t="s">
        <v>147</v>
      </c>
      <c r="H2093">
        <v>16</v>
      </c>
      <c r="I2093">
        <v>19</v>
      </c>
      <c r="J2093">
        <v>0</v>
      </c>
      <c r="K2093"/>
      <c r="L2093"/>
      <c r="M2093"/>
      <c r="N2093"/>
      <c r="O2093"/>
      <c r="P2093"/>
      <c r="Q2093"/>
      <c r="R2093"/>
      <c r="S2093"/>
      <c r="T2093"/>
      <c r="U2093"/>
      <c r="V2093"/>
      <c r="W2093"/>
      <c r="X2093"/>
      <c r="Y2093"/>
      <c r="Z2093"/>
      <c r="AA2093"/>
      <c r="AB2093"/>
      <c r="AC2093"/>
      <c r="AD2093"/>
      <c r="AE2093"/>
      <c r="AF2093"/>
      <c r="AG2093"/>
      <c r="AH2093"/>
      <c r="AI2093"/>
      <c r="AJ2093"/>
      <c r="AK2093"/>
      <c r="AL2093"/>
      <c r="AM2093"/>
      <c r="AN2093"/>
      <c r="AO2093"/>
      <c r="AP2093"/>
      <c r="AQ2093"/>
      <c r="AR2093"/>
      <c r="AS2093"/>
      <c r="AT2093"/>
      <c r="AU2093"/>
    </row>
    <row r="2094" spans="1:47" ht="18" customHeight="1" x14ac:dyDescent="0.35">
      <c r="A2094">
        <f>MATCH(B2094,STUDIES!$A$3:$A$502,0)</f>
        <v>87</v>
      </c>
      <c r="B2094" t="s">
        <v>1723</v>
      </c>
      <c r="C2094" s="456"/>
      <c r="D2094" t="s">
        <v>1726</v>
      </c>
      <c r="E2094" t="s">
        <v>1167</v>
      </c>
      <c r="F2094" s="456" t="str">
        <f>_xlfn.XLOOKUP(B2094,STUDIES!$A$3:$A$1063,STUDIES!$G$3:$G$1063,"Not Found!")</f>
        <v>A</v>
      </c>
      <c r="G2094" s="456" t="s">
        <v>147</v>
      </c>
      <c r="H2094">
        <v>16</v>
      </c>
      <c r="I2094">
        <v>18</v>
      </c>
      <c r="J2094">
        <v>0</v>
      </c>
      <c r="K2094"/>
      <c r="L2094"/>
      <c r="M2094"/>
      <c r="N2094"/>
      <c r="O2094"/>
      <c r="P2094"/>
      <c r="Q2094"/>
      <c r="R2094"/>
      <c r="S2094"/>
      <c r="T2094"/>
      <c r="U2094"/>
      <c r="V2094"/>
      <c r="W2094"/>
      <c r="X2094"/>
      <c r="Y2094"/>
      <c r="Z2094"/>
      <c r="AA2094"/>
      <c r="AB2094"/>
      <c r="AC2094"/>
      <c r="AD2094"/>
      <c r="AE2094"/>
      <c r="AF2094"/>
      <c r="AG2094"/>
      <c r="AH2094"/>
      <c r="AI2094"/>
      <c r="AJ2094"/>
      <c r="AK2094"/>
      <c r="AL2094"/>
      <c r="AM2094"/>
      <c r="AN2094"/>
      <c r="AO2094"/>
      <c r="AP2094"/>
      <c r="AQ2094"/>
      <c r="AR2094"/>
      <c r="AS2094"/>
      <c r="AT2094"/>
      <c r="AU2094"/>
    </row>
    <row r="2095" spans="1:47" ht="18" customHeight="1" x14ac:dyDescent="0.35">
      <c r="A2095">
        <f>MATCH(B2095,STUDIES!$A$3:$A$502,0)</f>
        <v>87</v>
      </c>
      <c r="B2095" t="s">
        <v>1723</v>
      </c>
      <c r="C2095" s="456"/>
      <c r="D2095" t="s">
        <v>1727</v>
      </c>
      <c r="E2095" t="s">
        <v>1167</v>
      </c>
      <c r="F2095" s="456" t="str">
        <f>_xlfn.XLOOKUP(B2095,STUDIES!$A$3:$A$1063,STUDIES!$G$3:$G$1063,"Not Found!")</f>
        <v>A</v>
      </c>
      <c r="G2095" s="456" t="s">
        <v>147</v>
      </c>
      <c r="H2095">
        <v>16</v>
      </c>
      <c r="I2095">
        <v>55</v>
      </c>
      <c r="J2095">
        <v>2</v>
      </c>
      <c r="K2095"/>
      <c r="L2095"/>
      <c r="M2095"/>
      <c r="N2095"/>
      <c r="O2095"/>
      <c r="P2095"/>
      <c r="Q2095"/>
      <c r="R2095"/>
      <c r="S2095"/>
      <c r="T2095"/>
      <c r="U2095"/>
      <c r="V2095"/>
      <c r="W2095"/>
      <c r="X2095"/>
      <c r="Y2095"/>
      <c r="Z2095"/>
      <c r="AA2095"/>
      <c r="AB2095"/>
      <c r="AC2095"/>
      <c r="AD2095"/>
      <c r="AE2095"/>
      <c r="AF2095"/>
      <c r="AG2095"/>
      <c r="AH2095"/>
      <c r="AI2095"/>
      <c r="AJ2095"/>
      <c r="AK2095"/>
      <c r="AL2095"/>
      <c r="AM2095"/>
      <c r="AN2095"/>
      <c r="AO2095"/>
      <c r="AP2095"/>
      <c r="AQ2095"/>
      <c r="AR2095"/>
      <c r="AS2095"/>
      <c r="AT2095"/>
      <c r="AU2095"/>
    </row>
    <row r="2096" spans="1:47" s="440" customFormat="1" ht="18" customHeight="1" x14ac:dyDescent="0.35">
      <c r="A2096">
        <f>MATCH(B2096,STUDIES!$A$3:$A$502,0)</f>
        <v>88</v>
      </c>
      <c r="B2096" t="s">
        <v>1738</v>
      </c>
      <c r="C2096" s="456"/>
      <c r="D2096" t="s">
        <v>1047</v>
      </c>
      <c r="E2096" t="s">
        <v>151</v>
      </c>
      <c r="F2096" s="456" t="str">
        <f>_xlfn.XLOOKUP(B2096,STUDIES!$A$3:$A$1063,STUDIES!$G$3:$G$1063,"Not Found!")</f>
        <v>C</v>
      </c>
      <c r="G2096" s="456" t="s">
        <v>147</v>
      </c>
      <c r="H2096">
        <v>12</v>
      </c>
      <c r="I2096">
        <v>52</v>
      </c>
      <c r="J2096"/>
      <c r="K2096">
        <v>28.97</v>
      </c>
      <c r="L2096"/>
      <c r="M2096">
        <v>12.53</v>
      </c>
      <c r="N2096"/>
      <c r="O2096"/>
      <c r="P2096"/>
      <c r="Q2096"/>
      <c r="R2096"/>
      <c r="S2096"/>
      <c r="T2096"/>
      <c r="U2096"/>
      <c r="V2096"/>
      <c r="W2096"/>
      <c r="X2096">
        <v>12.36</v>
      </c>
      <c r="Y2096">
        <v>0.86</v>
      </c>
      <c r="Z2096"/>
      <c r="AA2096"/>
      <c r="AB2096"/>
      <c r="AC2096"/>
      <c r="AD2096"/>
      <c r="AE2096"/>
      <c r="AF2096"/>
      <c r="AG2096"/>
      <c r="AH2096"/>
      <c r="AI2096"/>
      <c r="AJ2096"/>
      <c r="AK2096"/>
      <c r="AL2096"/>
      <c r="AM2096"/>
      <c r="AN2096"/>
      <c r="AO2096"/>
      <c r="AP2096"/>
      <c r="AQ2096"/>
      <c r="AR2096"/>
      <c r="AS2096"/>
      <c r="AT2096"/>
      <c r="AU2096"/>
    </row>
    <row r="2097" spans="1:47" s="440" customFormat="1" ht="18" customHeight="1" x14ac:dyDescent="0.35">
      <c r="A2097">
        <f>MATCH(B2097,STUDIES!$A$3:$A$502,0)</f>
        <v>88</v>
      </c>
      <c r="B2097" t="s">
        <v>1738</v>
      </c>
      <c r="C2097" s="456"/>
      <c r="D2097" t="s">
        <v>1749</v>
      </c>
      <c r="E2097" t="s">
        <v>151</v>
      </c>
      <c r="F2097" s="456" t="str">
        <f>_xlfn.XLOOKUP(B2097,STUDIES!$A$3:$A$1063,STUDIES!$G$3:$G$1063,"Not Found!")</f>
        <v>C</v>
      </c>
      <c r="G2097" s="456" t="s">
        <v>147</v>
      </c>
      <c r="H2097">
        <v>12</v>
      </c>
      <c r="I2097">
        <v>51</v>
      </c>
      <c r="J2097"/>
      <c r="K2097">
        <v>27.12</v>
      </c>
      <c r="L2097"/>
      <c r="M2097">
        <v>11.62</v>
      </c>
      <c r="N2097"/>
      <c r="O2097"/>
      <c r="P2097"/>
      <c r="Q2097"/>
      <c r="R2097"/>
      <c r="S2097"/>
      <c r="T2097"/>
      <c r="U2097"/>
      <c r="V2097"/>
      <c r="W2097"/>
      <c r="X2097">
        <v>12.81</v>
      </c>
      <c r="Y2097">
        <v>0.82</v>
      </c>
      <c r="Z2097"/>
      <c r="AA2097"/>
      <c r="AB2097"/>
      <c r="AC2097"/>
      <c r="AD2097"/>
      <c r="AE2097"/>
      <c r="AF2097"/>
      <c r="AG2097"/>
      <c r="AH2097"/>
      <c r="AI2097"/>
      <c r="AJ2097"/>
      <c r="AK2097"/>
      <c r="AL2097"/>
      <c r="AM2097"/>
      <c r="AN2097"/>
      <c r="AO2097"/>
      <c r="AP2097"/>
      <c r="AQ2097"/>
      <c r="AR2097"/>
      <c r="AS2097"/>
      <c r="AT2097"/>
      <c r="AU2097"/>
    </row>
    <row r="2098" spans="1:47" s="440" customFormat="1" ht="18" customHeight="1" x14ac:dyDescent="0.35">
      <c r="A2098">
        <f>MATCH(B2098,STUDIES!$A$3:$A$502,0)</f>
        <v>88</v>
      </c>
      <c r="B2098" t="s">
        <v>1738</v>
      </c>
      <c r="C2098" s="456"/>
      <c r="D2098" t="s">
        <v>1047</v>
      </c>
      <c r="E2098" t="s">
        <v>151</v>
      </c>
      <c r="F2098" s="456" t="str">
        <f>_xlfn.XLOOKUP(B2098,STUDIES!$A$3:$A$1063,STUDIES!$G$3:$G$1063,"Not Found!")</f>
        <v>C</v>
      </c>
      <c r="G2098" s="456" t="s">
        <v>152</v>
      </c>
      <c r="H2098">
        <v>36</v>
      </c>
      <c r="I2098">
        <v>48</v>
      </c>
      <c r="J2098"/>
      <c r="K2098">
        <v>28.97</v>
      </c>
      <c r="L2098"/>
      <c r="M2098">
        <v>12.53</v>
      </c>
      <c r="N2098"/>
      <c r="O2098"/>
      <c r="P2098"/>
      <c r="Q2098"/>
      <c r="R2098"/>
      <c r="S2098"/>
      <c r="T2098"/>
      <c r="U2098"/>
      <c r="V2098"/>
      <c r="W2098"/>
      <c r="X2098">
        <v>12.81</v>
      </c>
      <c r="Y2098">
        <v>0.82</v>
      </c>
      <c r="Z2098"/>
      <c r="AA2098"/>
      <c r="AB2098"/>
      <c r="AC2098"/>
      <c r="AD2098"/>
      <c r="AE2098"/>
      <c r="AF2098"/>
      <c r="AG2098"/>
      <c r="AH2098"/>
      <c r="AI2098"/>
      <c r="AJ2098"/>
      <c r="AK2098"/>
      <c r="AL2098"/>
      <c r="AM2098"/>
      <c r="AN2098"/>
      <c r="AO2098"/>
      <c r="AP2098"/>
      <c r="AQ2098"/>
      <c r="AR2098"/>
      <c r="AS2098"/>
      <c r="AT2098"/>
      <c r="AU2098"/>
    </row>
    <row r="2099" spans="1:47" s="440" customFormat="1" ht="18" customHeight="1" x14ac:dyDescent="0.35">
      <c r="A2099">
        <f>MATCH(B2099,STUDIES!$A$3:$A$502,0)</f>
        <v>88</v>
      </c>
      <c r="B2099" t="s">
        <v>1738</v>
      </c>
      <c r="C2099" s="456"/>
      <c r="D2099" t="s">
        <v>1749</v>
      </c>
      <c r="E2099" t="s">
        <v>151</v>
      </c>
      <c r="F2099" s="456" t="str">
        <f>_xlfn.XLOOKUP(B2099,STUDIES!$A$3:$A$1063,STUDIES!$G$3:$G$1063,"Not Found!")</f>
        <v>C</v>
      </c>
      <c r="G2099" s="456" t="s">
        <v>152</v>
      </c>
      <c r="H2099">
        <v>36</v>
      </c>
      <c r="I2099">
        <v>46</v>
      </c>
      <c r="J2099"/>
      <c r="K2099">
        <v>27.12</v>
      </c>
      <c r="L2099"/>
      <c r="M2099">
        <v>11.62</v>
      </c>
      <c r="N2099"/>
      <c r="O2099"/>
      <c r="P2099"/>
      <c r="Q2099"/>
      <c r="R2099"/>
      <c r="S2099"/>
      <c r="T2099"/>
      <c r="U2099"/>
      <c r="V2099"/>
      <c r="W2099"/>
      <c r="X2099">
        <v>11.19</v>
      </c>
      <c r="Y2099">
        <v>0.84</v>
      </c>
      <c r="Z2099"/>
      <c r="AA2099"/>
      <c r="AB2099"/>
      <c r="AC2099"/>
      <c r="AD2099"/>
      <c r="AE2099"/>
      <c r="AF2099"/>
      <c r="AG2099"/>
      <c r="AH2099"/>
      <c r="AI2099"/>
      <c r="AJ2099"/>
      <c r="AK2099"/>
      <c r="AL2099"/>
      <c r="AM2099"/>
      <c r="AN2099"/>
      <c r="AO2099"/>
      <c r="AP2099"/>
      <c r="AQ2099"/>
      <c r="AR2099"/>
      <c r="AS2099"/>
      <c r="AT2099"/>
      <c r="AU2099"/>
    </row>
    <row r="2100" spans="1:47" s="440" customFormat="1" ht="18" customHeight="1" x14ac:dyDescent="0.35">
      <c r="A2100">
        <f>MATCH(B2100,STUDIES!$A$3:$A$502,0)</f>
        <v>88</v>
      </c>
      <c r="B2100" t="s">
        <v>1738</v>
      </c>
      <c r="C2100" s="456"/>
      <c r="D2100" t="s">
        <v>1047</v>
      </c>
      <c r="E2100" t="s">
        <v>1167</v>
      </c>
      <c r="F2100" s="456" t="str">
        <f>_xlfn.XLOOKUP(B2100,STUDIES!$A$3:$A$1063,STUDIES!$G$3:$G$1063,"Not Found!")</f>
        <v>C</v>
      </c>
      <c r="G2100" s="456" t="s">
        <v>152</v>
      </c>
      <c r="H2100">
        <v>36</v>
      </c>
      <c r="I2100">
        <v>51</v>
      </c>
      <c r="J2100">
        <v>4</v>
      </c>
      <c r="K2100"/>
      <c r="L2100"/>
      <c r="M2100"/>
      <c r="N2100"/>
      <c r="O2100"/>
      <c r="P2100"/>
      <c r="Q2100"/>
      <c r="R2100"/>
      <c r="S2100"/>
      <c r="T2100"/>
      <c r="U2100"/>
      <c r="V2100"/>
      <c r="W2100"/>
      <c r="X2100"/>
      <c r="Y2100"/>
      <c r="Z2100"/>
      <c r="AA2100"/>
      <c r="AB2100"/>
      <c r="AC2100"/>
      <c r="AD2100"/>
      <c r="AE2100"/>
      <c r="AF2100"/>
      <c r="AG2100"/>
      <c r="AH2100"/>
      <c r="AI2100"/>
      <c r="AJ2100"/>
      <c r="AK2100"/>
      <c r="AL2100"/>
      <c r="AM2100"/>
      <c r="AN2100"/>
      <c r="AO2100"/>
      <c r="AP2100"/>
      <c r="AQ2100"/>
      <c r="AR2100"/>
      <c r="AS2100"/>
      <c r="AT2100"/>
      <c r="AU2100"/>
    </row>
    <row r="2101" spans="1:47" s="440" customFormat="1" ht="18" customHeight="1" x14ac:dyDescent="0.35">
      <c r="A2101">
        <f>MATCH(B2101,STUDIES!$A$3:$A$502,0)</f>
        <v>88</v>
      </c>
      <c r="B2101" t="s">
        <v>1738</v>
      </c>
      <c r="C2101" s="456"/>
      <c r="D2101" t="s">
        <v>1749</v>
      </c>
      <c r="E2101" t="s">
        <v>1167</v>
      </c>
      <c r="F2101" s="456" t="str">
        <f>_xlfn.XLOOKUP(B2101,STUDIES!$A$3:$A$1063,STUDIES!$G$3:$G$1063,"Not Found!")</f>
        <v>C</v>
      </c>
      <c r="G2101" s="456" t="s">
        <v>152</v>
      </c>
      <c r="H2101">
        <v>36</v>
      </c>
      <c r="I2101">
        <v>51</v>
      </c>
      <c r="J2101">
        <v>6</v>
      </c>
      <c r="K2101"/>
      <c r="L2101"/>
      <c r="M2101"/>
      <c r="N2101"/>
      <c r="O2101"/>
      <c r="P2101"/>
      <c r="Q2101"/>
      <c r="R2101"/>
      <c r="S2101"/>
      <c r="T2101"/>
      <c r="U2101"/>
      <c r="V2101"/>
      <c r="W2101"/>
      <c r="X2101"/>
      <c r="Y2101"/>
      <c r="Z2101"/>
      <c r="AA2101"/>
      <c r="AB2101"/>
      <c r="AC2101"/>
      <c r="AD2101"/>
      <c r="AE2101"/>
      <c r="AF2101"/>
      <c r="AG2101"/>
      <c r="AH2101"/>
      <c r="AI2101"/>
      <c r="AJ2101"/>
      <c r="AK2101"/>
      <c r="AL2101"/>
      <c r="AM2101"/>
      <c r="AN2101"/>
      <c r="AO2101"/>
      <c r="AP2101"/>
      <c r="AQ2101"/>
      <c r="AR2101"/>
      <c r="AS2101"/>
      <c r="AT2101"/>
      <c r="AU2101"/>
    </row>
    <row r="2102" spans="1:47" s="440" customFormat="1" ht="18" customHeight="1" x14ac:dyDescent="0.35">
      <c r="A2102">
        <f>MATCH(B2102,STUDIES!$A$3:$A$502,0)</f>
        <v>88</v>
      </c>
      <c r="B2102" t="s">
        <v>1738</v>
      </c>
      <c r="C2102" s="456"/>
      <c r="D2102" t="s">
        <v>1047</v>
      </c>
      <c r="E2102" t="s">
        <v>1163</v>
      </c>
      <c r="F2102" s="456" t="str">
        <f>_xlfn.XLOOKUP(B2102,STUDIES!$A$3:$A$1063,STUDIES!$G$3:$G$1063,"Not Found!")</f>
        <v>C</v>
      </c>
      <c r="G2102" s="456" t="s">
        <v>152</v>
      </c>
      <c r="H2102">
        <v>36</v>
      </c>
      <c r="I2102">
        <v>51</v>
      </c>
      <c r="J2102">
        <v>5</v>
      </c>
      <c r="K2102"/>
      <c r="L2102"/>
      <c r="M2102"/>
      <c r="N2102"/>
      <c r="O2102"/>
      <c r="P2102"/>
      <c r="Q2102"/>
      <c r="R2102"/>
      <c r="S2102"/>
      <c r="T2102"/>
      <c r="U2102"/>
      <c r="V2102"/>
      <c r="W2102"/>
      <c r="X2102"/>
      <c r="Y2102"/>
      <c r="Z2102"/>
      <c r="AA2102"/>
      <c r="AB2102"/>
      <c r="AC2102"/>
      <c r="AD2102"/>
      <c r="AE2102"/>
      <c r="AF2102"/>
      <c r="AG2102"/>
      <c r="AH2102"/>
      <c r="AI2102"/>
      <c r="AJ2102"/>
      <c r="AK2102"/>
      <c r="AL2102"/>
      <c r="AM2102"/>
      <c r="AN2102"/>
      <c r="AO2102"/>
      <c r="AP2102"/>
      <c r="AQ2102"/>
      <c r="AR2102"/>
      <c r="AS2102"/>
      <c r="AT2102"/>
      <c r="AU2102"/>
    </row>
    <row r="2103" spans="1:47" s="440" customFormat="1" ht="18" customHeight="1" x14ac:dyDescent="0.35">
      <c r="A2103">
        <f>MATCH(B2103,STUDIES!$A$3:$A$502,0)</f>
        <v>88</v>
      </c>
      <c r="B2103" t="s">
        <v>1738</v>
      </c>
      <c r="C2103" s="456"/>
      <c r="D2103" t="s">
        <v>1749</v>
      </c>
      <c r="E2103" t="s">
        <v>1163</v>
      </c>
      <c r="F2103" s="456" t="str">
        <f>_xlfn.XLOOKUP(B2103,STUDIES!$A$3:$A$1063,STUDIES!$G$3:$G$1063,"Not Found!")</f>
        <v>C</v>
      </c>
      <c r="G2103" s="456" t="s">
        <v>152</v>
      </c>
      <c r="H2103">
        <v>36</v>
      </c>
      <c r="I2103">
        <v>51</v>
      </c>
      <c r="J2103">
        <v>7</v>
      </c>
      <c r="K2103"/>
      <c r="L2103"/>
      <c r="M2103"/>
      <c r="N2103"/>
      <c r="O2103"/>
      <c r="P2103"/>
      <c r="Q2103"/>
      <c r="R2103"/>
      <c r="S2103"/>
      <c r="T2103"/>
      <c r="U2103"/>
      <c r="V2103"/>
      <c r="W2103"/>
      <c r="X2103"/>
      <c r="Y2103"/>
      <c r="Z2103"/>
      <c r="AA2103"/>
      <c r="AB2103"/>
      <c r="AC2103"/>
      <c r="AD2103"/>
      <c r="AE2103"/>
      <c r="AF2103"/>
      <c r="AG2103"/>
      <c r="AH2103"/>
      <c r="AI2103"/>
      <c r="AJ2103"/>
      <c r="AK2103"/>
      <c r="AL2103"/>
      <c r="AM2103"/>
      <c r="AN2103"/>
      <c r="AO2103"/>
      <c r="AP2103"/>
      <c r="AQ2103"/>
      <c r="AR2103"/>
      <c r="AS2103"/>
      <c r="AT2103"/>
      <c r="AU2103"/>
    </row>
    <row r="2104" spans="1:47" s="440" customFormat="1" ht="18" customHeight="1" x14ac:dyDescent="0.35">
      <c r="A2104">
        <f>MATCH(B2104,STUDIES!$A$3:$A$502,0)</f>
        <v>88</v>
      </c>
      <c r="B2104" t="s">
        <v>1738</v>
      </c>
      <c r="C2104" s="456"/>
      <c r="D2104" t="s">
        <v>1047</v>
      </c>
      <c r="E2104" t="s">
        <v>1258</v>
      </c>
      <c r="F2104" s="456" t="str">
        <f>_xlfn.XLOOKUP(B2104,STUDIES!$A$3:$A$1063,STUDIES!$G$3:$G$1063,"Not Found!")</f>
        <v>C</v>
      </c>
      <c r="G2104" s="456" t="s">
        <v>147</v>
      </c>
      <c r="H2104">
        <v>12</v>
      </c>
      <c r="I2104">
        <v>52</v>
      </c>
      <c r="J2104">
        <v>35</v>
      </c>
      <c r="K2104"/>
      <c r="L2104"/>
      <c r="M2104"/>
      <c r="N2104"/>
      <c r="O2104"/>
      <c r="P2104"/>
      <c r="Q2104"/>
      <c r="R2104"/>
      <c r="S2104"/>
      <c r="T2104"/>
      <c r="U2104"/>
      <c r="V2104"/>
      <c r="W2104"/>
      <c r="X2104"/>
      <c r="Y2104"/>
      <c r="Z2104"/>
      <c r="AA2104"/>
      <c r="AB2104"/>
      <c r="AC2104"/>
      <c r="AD2104"/>
      <c r="AE2104"/>
      <c r="AF2104"/>
      <c r="AG2104"/>
      <c r="AH2104"/>
      <c r="AI2104"/>
      <c r="AJ2104"/>
      <c r="AK2104"/>
      <c r="AL2104"/>
      <c r="AM2104"/>
      <c r="AN2104"/>
      <c r="AO2104"/>
      <c r="AP2104"/>
      <c r="AQ2104"/>
      <c r="AR2104"/>
      <c r="AS2104"/>
      <c r="AT2104"/>
      <c r="AU2104"/>
    </row>
    <row r="2105" spans="1:47" s="440" customFormat="1" ht="18" customHeight="1" x14ac:dyDescent="0.35">
      <c r="A2105">
        <f>MATCH(B2105,STUDIES!$A$3:$A$502,0)</f>
        <v>88</v>
      </c>
      <c r="B2105" t="s">
        <v>1738</v>
      </c>
      <c r="C2105" s="456"/>
      <c r="D2105" t="s">
        <v>1749</v>
      </c>
      <c r="E2105" t="s">
        <v>1258</v>
      </c>
      <c r="F2105" s="456" t="str">
        <f>_xlfn.XLOOKUP(B2105,STUDIES!$A$3:$A$1063,STUDIES!$G$3:$G$1063,"Not Found!")</f>
        <v>C</v>
      </c>
      <c r="G2105" s="456" t="s">
        <v>147</v>
      </c>
      <c r="H2105">
        <v>12</v>
      </c>
      <c r="I2105">
        <v>51</v>
      </c>
      <c r="J2105">
        <v>27</v>
      </c>
      <c r="K2105"/>
      <c r="L2105"/>
      <c r="M2105"/>
      <c r="N2105"/>
      <c r="O2105"/>
      <c r="P2105"/>
      <c r="Q2105"/>
      <c r="R2105"/>
      <c r="S2105"/>
      <c r="T2105"/>
      <c r="U2105"/>
      <c r="V2105"/>
      <c r="W2105"/>
      <c r="X2105"/>
      <c r="Y2105"/>
      <c r="Z2105"/>
      <c r="AA2105"/>
      <c r="AB2105"/>
      <c r="AC2105"/>
      <c r="AD2105"/>
      <c r="AE2105"/>
      <c r="AF2105"/>
      <c r="AG2105"/>
      <c r="AH2105"/>
      <c r="AI2105"/>
      <c r="AJ2105"/>
      <c r="AK2105"/>
      <c r="AL2105"/>
      <c r="AM2105"/>
      <c r="AN2105"/>
      <c r="AO2105"/>
      <c r="AP2105"/>
      <c r="AQ2105"/>
      <c r="AR2105"/>
      <c r="AS2105"/>
      <c r="AT2105"/>
      <c r="AU2105"/>
    </row>
    <row r="2106" spans="1:47" s="440" customFormat="1" ht="18" customHeight="1" x14ac:dyDescent="0.35">
      <c r="A2106">
        <f>MATCH(B2106,STUDIES!$A$3:$A$502,0)</f>
        <v>88</v>
      </c>
      <c r="B2106" t="s">
        <v>1738</v>
      </c>
      <c r="C2106" s="456"/>
      <c r="D2106" t="s">
        <v>1047</v>
      </c>
      <c r="E2106" t="s">
        <v>1258</v>
      </c>
      <c r="F2106" s="456" t="str">
        <f>_xlfn.XLOOKUP(B2106,STUDIES!$A$3:$A$1063,STUDIES!$G$3:$G$1063,"Not Found!")</f>
        <v>C</v>
      </c>
      <c r="G2106" s="456" t="s">
        <v>152</v>
      </c>
      <c r="H2106">
        <v>36</v>
      </c>
      <c r="I2106">
        <v>48</v>
      </c>
      <c r="J2106">
        <v>34</v>
      </c>
      <c r="K2106"/>
      <c r="L2106"/>
      <c r="M2106"/>
      <c r="N2106"/>
      <c r="O2106"/>
      <c r="P2106"/>
      <c r="Q2106"/>
      <c r="R2106"/>
      <c r="S2106"/>
      <c r="T2106"/>
      <c r="U2106"/>
      <c r="V2106"/>
      <c r="W2106"/>
      <c r="X2106"/>
      <c r="Y2106"/>
      <c r="Z2106"/>
      <c r="AA2106"/>
      <c r="AB2106"/>
      <c r="AC2106"/>
      <c r="AD2106"/>
      <c r="AE2106"/>
      <c r="AF2106"/>
      <c r="AG2106"/>
      <c r="AH2106"/>
      <c r="AI2106"/>
      <c r="AJ2106"/>
      <c r="AK2106"/>
      <c r="AL2106"/>
      <c r="AM2106"/>
      <c r="AN2106"/>
      <c r="AO2106"/>
      <c r="AP2106"/>
      <c r="AQ2106"/>
      <c r="AR2106"/>
      <c r="AS2106"/>
      <c r="AT2106"/>
      <c r="AU2106"/>
    </row>
    <row r="2107" spans="1:47" s="440" customFormat="1" ht="18" customHeight="1" x14ac:dyDescent="0.35">
      <c r="A2107">
        <f>MATCH(B2107,STUDIES!$A$3:$A$502,0)</f>
        <v>88</v>
      </c>
      <c r="B2107" t="s">
        <v>1738</v>
      </c>
      <c r="C2107" s="456"/>
      <c r="D2107" t="s">
        <v>1749</v>
      </c>
      <c r="E2107" t="s">
        <v>1258</v>
      </c>
      <c r="F2107" s="456" t="str">
        <f>_xlfn.XLOOKUP(B2107,STUDIES!$A$3:$A$1063,STUDIES!$G$3:$G$1063,"Not Found!")</f>
        <v>C</v>
      </c>
      <c r="G2107" s="456" t="s">
        <v>152</v>
      </c>
      <c r="H2107">
        <v>36</v>
      </c>
      <c r="I2107">
        <v>46</v>
      </c>
      <c r="J2107">
        <v>40</v>
      </c>
      <c r="K2107"/>
      <c r="L2107"/>
      <c r="M2107"/>
      <c r="N2107"/>
      <c r="O2107"/>
      <c r="P2107"/>
      <c r="Q2107"/>
      <c r="R2107"/>
      <c r="S2107"/>
      <c r="T2107"/>
      <c r="U2107"/>
      <c r="V2107"/>
      <c r="W2107"/>
      <c r="X2107"/>
      <c r="Y2107"/>
      <c r="Z2107"/>
      <c r="AA2107"/>
      <c r="AB2107"/>
      <c r="AC2107"/>
      <c r="AD2107"/>
      <c r="AE2107"/>
      <c r="AF2107"/>
      <c r="AG2107"/>
      <c r="AH2107"/>
      <c r="AI2107"/>
      <c r="AJ2107"/>
      <c r="AK2107"/>
      <c r="AL2107"/>
      <c r="AM2107"/>
      <c r="AN2107"/>
      <c r="AO2107"/>
      <c r="AP2107"/>
      <c r="AQ2107"/>
      <c r="AR2107"/>
      <c r="AS2107"/>
      <c r="AT2107"/>
      <c r="AU2107"/>
    </row>
    <row r="2108" spans="1:47" s="440" customFormat="1" ht="18" customHeight="1" x14ac:dyDescent="0.35">
      <c r="A2108">
        <f>MATCH(B2108,STUDIES!$A$3:$A$502,0)</f>
        <v>88</v>
      </c>
      <c r="B2108" t="s">
        <v>1738</v>
      </c>
      <c r="C2108" s="456"/>
      <c r="D2108" t="s">
        <v>1047</v>
      </c>
      <c r="E2108" t="s">
        <v>1243</v>
      </c>
      <c r="F2108" s="456" t="str">
        <f>_xlfn.XLOOKUP(B2108,STUDIES!$A$3:$A$1063,STUDIES!$G$3:$G$1063,"Not Found!")</f>
        <v>C</v>
      </c>
      <c r="G2108" s="456" t="s">
        <v>147</v>
      </c>
      <c r="H2108">
        <v>12</v>
      </c>
      <c r="I2108">
        <v>52</v>
      </c>
      <c r="J2108">
        <v>23</v>
      </c>
      <c r="K2108"/>
      <c r="L2108"/>
      <c r="M2108"/>
      <c r="N2108"/>
      <c r="O2108"/>
      <c r="P2108"/>
      <c r="Q2108"/>
      <c r="R2108"/>
      <c r="S2108"/>
      <c r="T2108"/>
      <c r="U2108"/>
      <c r="V2108"/>
      <c r="W2108"/>
      <c r="X2108"/>
      <c r="Y2108"/>
      <c r="Z2108"/>
      <c r="AA2108"/>
      <c r="AB2108"/>
      <c r="AC2108"/>
      <c r="AD2108"/>
      <c r="AE2108"/>
      <c r="AF2108"/>
      <c r="AG2108"/>
      <c r="AH2108"/>
      <c r="AI2108"/>
      <c r="AJ2108"/>
      <c r="AK2108"/>
      <c r="AL2108"/>
      <c r="AM2108"/>
      <c r="AN2108"/>
      <c r="AO2108"/>
      <c r="AP2108"/>
      <c r="AQ2108"/>
      <c r="AR2108"/>
      <c r="AS2108"/>
      <c r="AT2108"/>
      <c r="AU2108"/>
    </row>
    <row r="2109" spans="1:47" s="440" customFormat="1" ht="18" customHeight="1" x14ac:dyDescent="0.35">
      <c r="A2109">
        <f>MATCH(B2109,STUDIES!$A$3:$A$502,0)</f>
        <v>88</v>
      </c>
      <c r="B2109" t="s">
        <v>1738</v>
      </c>
      <c r="C2109" s="456"/>
      <c r="D2109" t="s">
        <v>1749</v>
      </c>
      <c r="E2109" t="s">
        <v>1243</v>
      </c>
      <c r="F2109" s="456" t="str">
        <f>_xlfn.XLOOKUP(B2109,STUDIES!$A$3:$A$1063,STUDIES!$G$3:$G$1063,"Not Found!")</f>
        <v>C</v>
      </c>
      <c r="G2109" s="456" t="s">
        <v>147</v>
      </c>
      <c r="H2109">
        <v>12</v>
      </c>
      <c r="I2109">
        <v>51</v>
      </c>
      <c r="J2109">
        <v>10</v>
      </c>
      <c r="K2109"/>
      <c r="L2109"/>
      <c r="M2109"/>
      <c r="N2109"/>
      <c r="O2109"/>
      <c r="P2109"/>
      <c r="Q2109"/>
      <c r="R2109"/>
      <c r="S2109"/>
      <c r="T2109"/>
      <c r="U2109"/>
      <c r="V2109"/>
      <c r="W2109"/>
      <c r="X2109"/>
      <c r="Y2109"/>
      <c r="Z2109"/>
      <c r="AA2109"/>
      <c r="AB2109"/>
      <c r="AC2109"/>
      <c r="AD2109"/>
      <c r="AE2109"/>
      <c r="AF2109"/>
      <c r="AG2109"/>
      <c r="AH2109"/>
      <c r="AI2109"/>
      <c r="AJ2109"/>
      <c r="AK2109"/>
      <c r="AL2109"/>
      <c r="AM2109"/>
      <c r="AN2109"/>
      <c r="AO2109"/>
      <c r="AP2109"/>
      <c r="AQ2109"/>
      <c r="AR2109"/>
      <c r="AS2109"/>
      <c r="AT2109"/>
      <c r="AU2109"/>
    </row>
    <row r="2110" spans="1:47" s="440" customFormat="1" ht="18" customHeight="1" x14ac:dyDescent="0.35">
      <c r="A2110">
        <f>MATCH(B2110,STUDIES!$A$3:$A$502,0)</f>
        <v>88</v>
      </c>
      <c r="B2110" t="s">
        <v>1738</v>
      </c>
      <c r="C2110" s="456"/>
      <c r="D2110" t="s">
        <v>1047</v>
      </c>
      <c r="E2110" t="s">
        <v>1243</v>
      </c>
      <c r="F2110" s="456" t="str">
        <f>_xlfn.XLOOKUP(B2110,STUDIES!$A$3:$A$1063,STUDIES!$G$3:$G$1063,"Not Found!")</f>
        <v>C</v>
      </c>
      <c r="G2110" s="456" t="s">
        <v>152</v>
      </c>
      <c r="H2110">
        <v>36</v>
      </c>
      <c r="I2110">
        <v>48</v>
      </c>
      <c r="J2110">
        <v>20</v>
      </c>
      <c r="K2110"/>
      <c r="L2110"/>
      <c r="M2110"/>
      <c r="N2110"/>
      <c r="O2110"/>
      <c r="P2110"/>
      <c r="Q2110"/>
      <c r="R2110"/>
      <c r="S2110"/>
      <c r="T2110"/>
      <c r="U2110"/>
      <c r="V2110"/>
      <c r="W2110"/>
      <c r="X2110"/>
      <c r="Y2110"/>
      <c r="Z2110"/>
      <c r="AA2110"/>
      <c r="AB2110"/>
      <c r="AC2110"/>
      <c r="AD2110"/>
      <c r="AE2110"/>
      <c r="AF2110"/>
      <c r="AG2110"/>
      <c r="AH2110"/>
      <c r="AI2110"/>
      <c r="AJ2110"/>
      <c r="AK2110"/>
      <c r="AL2110"/>
      <c r="AM2110"/>
      <c r="AN2110"/>
      <c r="AO2110"/>
      <c r="AP2110"/>
      <c r="AQ2110"/>
      <c r="AR2110"/>
      <c r="AS2110"/>
      <c r="AT2110"/>
      <c r="AU2110"/>
    </row>
    <row r="2111" spans="1:47" s="440" customFormat="1" ht="18" customHeight="1" x14ac:dyDescent="0.35">
      <c r="A2111">
        <f>MATCH(B2111,STUDIES!$A$3:$A$502,0)</f>
        <v>88</v>
      </c>
      <c r="B2111" t="s">
        <v>1738</v>
      </c>
      <c r="C2111" s="456"/>
      <c r="D2111" t="s">
        <v>1749</v>
      </c>
      <c r="E2111" t="s">
        <v>1243</v>
      </c>
      <c r="F2111" s="456" t="str">
        <f>_xlfn.XLOOKUP(B2111,STUDIES!$A$3:$A$1063,STUDIES!$G$3:$G$1063,"Not Found!")</f>
        <v>C</v>
      </c>
      <c r="G2111" s="456" t="s">
        <v>152</v>
      </c>
      <c r="H2111">
        <v>36</v>
      </c>
      <c r="I2111">
        <v>46</v>
      </c>
      <c r="J2111">
        <v>21</v>
      </c>
      <c r="K2111"/>
      <c r="L2111"/>
      <c r="M2111"/>
      <c r="N2111"/>
      <c r="O2111"/>
      <c r="P2111"/>
      <c r="Q2111"/>
      <c r="R2111"/>
      <c r="S2111"/>
      <c r="T2111"/>
      <c r="U2111"/>
      <c r="V2111"/>
      <c r="W2111"/>
      <c r="X2111"/>
      <c r="Y2111"/>
      <c r="Z2111"/>
      <c r="AA2111"/>
      <c r="AB2111"/>
      <c r="AC2111"/>
      <c r="AD2111"/>
      <c r="AE2111"/>
      <c r="AF2111"/>
      <c r="AG2111"/>
      <c r="AH2111"/>
      <c r="AI2111"/>
      <c r="AJ2111"/>
      <c r="AK2111"/>
      <c r="AL2111"/>
      <c r="AM2111"/>
      <c r="AN2111"/>
      <c r="AO2111"/>
      <c r="AP2111"/>
      <c r="AQ2111"/>
      <c r="AR2111"/>
      <c r="AS2111"/>
      <c r="AT2111"/>
      <c r="AU2111"/>
    </row>
    <row r="2112" spans="1:47" s="440" customFormat="1" ht="18" customHeight="1" x14ac:dyDescent="0.35">
      <c r="A2112">
        <f>MATCH(B2112,STUDIES!$A$3:$A$502,0)</f>
        <v>88</v>
      </c>
      <c r="B2112" t="s">
        <v>1738</v>
      </c>
      <c r="C2112" s="456"/>
      <c r="D2112" t="s">
        <v>1047</v>
      </c>
      <c r="E2112" t="s">
        <v>1244</v>
      </c>
      <c r="F2112" s="456" t="str">
        <f>_xlfn.XLOOKUP(B2112,STUDIES!$A$3:$A$1063,STUDIES!$G$3:$G$1063,"Not Found!")</f>
        <v>C</v>
      </c>
      <c r="G2112" s="456" t="s">
        <v>147</v>
      </c>
      <c r="H2112">
        <v>12</v>
      </c>
      <c r="I2112">
        <v>52</v>
      </c>
      <c r="J2112">
        <v>4</v>
      </c>
      <c r="K2112"/>
      <c r="L2112"/>
      <c r="M2112"/>
      <c r="N2112"/>
      <c r="O2112"/>
      <c r="P2112"/>
      <c r="Q2112"/>
      <c r="R2112"/>
      <c r="S2112"/>
      <c r="T2112"/>
      <c r="U2112"/>
      <c r="V2112"/>
      <c r="W2112"/>
      <c r="X2112"/>
      <c r="Y2112"/>
      <c r="Z2112"/>
      <c r="AA2112"/>
      <c r="AB2112"/>
      <c r="AC2112"/>
      <c r="AD2112"/>
      <c r="AE2112"/>
      <c r="AF2112"/>
      <c r="AG2112"/>
      <c r="AH2112"/>
      <c r="AI2112"/>
      <c r="AJ2112"/>
      <c r="AK2112"/>
      <c r="AL2112"/>
      <c r="AM2112"/>
      <c r="AN2112"/>
      <c r="AO2112"/>
      <c r="AP2112"/>
      <c r="AQ2112"/>
      <c r="AR2112"/>
      <c r="AS2112"/>
      <c r="AT2112"/>
      <c r="AU2112"/>
    </row>
    <row r="2113" spans="1:47" s="440" customFormat="1" ht="18" customHeight="1" x14ac:dyDescent="0.35">
      <c r="A2113">
        <f>MATCH(B2113,STUDIES!$A$3:$A$502,0)</f>
        <v>88</v>
      </c>
      <c r="B2113" t="s">
        <v>1738</v>
      </c>
      <c r="C2113" s="456"/>
      <c r="D2113" t="s">
        <v>1749</v>
      </c>
      <c r="E2113" t="s">
        <v>1244</v>
      </c>
      <c r="F2113" s="456" t="str">
        <f>_xlfn.XLOOKUP(B2113,STUDIES!$A$3:$A$1063,STUDIES!$G$3:$G$1063,"Not Found!")</f>
        <v>C</v>
      </c>
      <c r="G2113" s="456" t="s">
        <v>147</v>
      </c>
      <c r="H2113">
        <v>12</v>
      </c>
      <c r="I2113">
        <v>51</v>
      </c>
      <c r="J2113">
        <v>1</v>
      </c>
      <c r="K2113"/>
      <c r="L2113"/>
      <c r="M2113"/>
      <c r="N2113"/>
      <c r="O2113"/>
      <c r="P2113"/>
      <c r="Q2113"/>
      <c r="R2113"/>
      <c r="S2113"/>
      <c r="T2113"/>
      <c r="U2113"/>
      <c r="V2113"/>
      <c r="W2113"/>
      <c r="X2113"/>
      <c r="Y2113"/>
      <c r="Z2113"/>
      <c r="AA2113"/>
      <c r="AB2113"/>
      <c r="AC2113"/>
      <c r="AD2113"/>
      <c r="AE2113"/>
      <c r="AF2113"/>
      <c r="AG2113"/>
      <c r="AH2113"/>
      <c r="AI2113"/>
      <c r="AJ2113"/>
      <c r="AK2113"/>
      <c r="AL2113"/>
      <c r="AM2113"/>
      <c r="AN2113"/>
      <c r="AO2113"/>
      <c r="AP2113"/>
      <c r="AQ2113"/>
      <c r="AR2113"/>
      <c r="AS2113"/>
      <c r="AT2113"/>
      <c r="AU2113"/>
    </row>
    <row r="2114" spans="1:47" s="440" customFormat="1" ht="18" customHeight="1" x14ac:dyDescent="0.35">
      <c r="A2114">
        <f>MATCH(B2114,STUDIES!$A$3:$A$502,0)</f>
        <v>88</v>
      </c>
      <c r="B2114" t="s">
        <v>1738</v>
      </c>
      <c r="C2114" s="456"/>
      <c r="D2114" t="s">
        <v>1047</v>
      </c>
      <c r="E2114" t="s">
        <v>1244</v>
      </c>
      <c r="F2114" s="456" t="str">
        <f>_xlfn.XLOOKUP(B2114,STUDIES!$A$3:$A$1063,STUDIES!$G$3:$G$1063,"Not Found!")</f>
        <v>C</v>
      </c>
      <c r="G2114" s="456" t="s">
        <v>152</v>
      </c>
      <c r="H2114">
        <v>36</v>
      </c>
      <c r="I2114">
        <v>48</v>
      </c>
      <c r="J2114">
        <v>5</v>
      </c>
      <c r="K2114"/>
      <c r="L2114"/>
      <c r="M2114"/>
      <c r="N2114"/>
      <c r="O2114"/>
      <c r="P2114"/>
      <c r="Q2114"/>
      <c r="R2114"/>
      <c r="S2114"/>
      <c r="T2114"/>
      <c r="U2114"/>
      <c r="V2114"/>
      <c r="W2114"/>
      <c r="X2114"/>
      <c r="Y2114"/>
      <c r="Z2114"/>
      <c r="AA2114"/>
      <c r="AB2114"/>
      <c r="AC2114"/>
      <c r="AD2114"/>
      <c r="AE2114"/>
      <c r="AF2114"/>
      <c r="AG2114"/>
      <c r="AH2114"/>
      <c r="AI2114"/>
      <c r="AJ2114"/>
      <c r="AK2114"/>
      <c r="AL2114"/>
      <c r="AM2114"/>
      <c r="AN2114"/>
      <c r="AO2114"/>
      <c r="AP2114"/>
      <c r="AQ2114"/>
      <c r="AR2114"/>
      <c r="AS2114"/>
      <c r="AT2114"/>
      <c r="AU2114"/>
    </row>
    <row r="2115" spans="1:47" s="440" customFormat="1" ht="18" customHeight="1" x14ac:dyDescent="0.35">
      <c r="A2115">
        <f>MATCH(B2115,STUDIES!$A$3:$A$502,0)</f>
        <v>88</v>
      </c>
      <c r="B2115" t="s">
        <v>1738</v>
      </c>
      <c r="C2115" s="456"/>
      <c r="D2115" t="s">
        <v>1749</v>
      </c>
      <c r="E2115" t="s">
        <v>1244</v>
      </c>
      <c r="F2115" s="456" t="str">
        <f>_xlfn.XLOOKUP(B2115,STUDIES!$A$3:$A$1063,STUDIES!$G$3:$G$1063,"Not Found!")</f>
        <v>C</v>
      </c>
      <c r="G2115" s="456" t="s">
        <v>152</v>
      </c>
      <c r="H2115">
        <v>36</v>
      </c>
      <c r="I2115">
        <v>46</v>
      </c>
      <c r="J2115">
        <v>9</v>
      </c>
      <c r="K2115"/>
      <c r="L2115"/>
      <c r="M2115"/>
      <c r="N2115"/>
      <c r="O2115"/>
      <c r="P2115"/>
      <c r="Q2115"/>
      <c r="R2115"/>
      <c r="S2115"/>
      <c r="T2115"/>
      <c r="U2115"/>
      <c r="V2115"/>
      <c r="W2115"/>
      <c r="X2115"/>
      <c r="Y2115"/>
      <c r="Z2115"/>
      <c r="AA2115"/>
      <c r="AB2115"/>
      <c r="AC2115"/>
      <c r="AD2115"/>
      <c r="AE2115"/>
      <c r="AF2115"/>
      <c r="AG2115"/>
      <c r="AH2115"/>
      <c r="AI2115"/>
      <c r="AJ2115"/>
      <c r="AK2115"/>
      <c r="AL2115"/>
      <c r="AM2115"/>
      <c r="AN2115"/>
      <c r="AO2115"/>
      <c r="AP2115"/>
      <c r="AQ2115"/>
      <c r="AR2115"/>
      <c r="AS2115"/>
      <c r="AT2115"/>
      <c r="AU2115"/>
    </row>
    <row r="2116" spans="1:47" s="440" customFormat="1" ht="18" customHeight="1" x14ac:dyDescent="0.35">
      <c r="A2116">
        <f>MATCH(B2116,STUDIES!$A$3:$A$502,0)</f>
        <v>88</v>
      </c>
      <c r="B2116" t="s">
        <v>1738</v>
      </c>
      <c r="C2116" s="456"/>
      <c r="D2116" t="s">
        <v>1047</v>
      </c>
      <c r="E2116" t="s">
        <v>1268</v>
      </c>
      <c r="F2116" s="456" t="str">
        <f>_xlfn.XLOOKUP(B2116,STUDIES!$A$3:$A$1063,STUDIES!$G$3:$G$1063,"Not Found!")</f>
        <v>C</v>
      </c>
      <c r="G2116" s="456" t="s">
        <v>147</v>
      </c>
      <c r="H2116">
        <v>12</v>
      </c>
      <c r="I2116">
        <v>52</v>
      </c>
      <c r="J2116">
        <v>6</v>
      </c>
      <c r="K2116"/>
      <c r="L2116"/>
      <c r="M2116"/>
      <c r="N2116"/>
      <c r="O2116"/>
      <c r="P2116"/>
      <c r="Q2116"/>
      <c r="R2116"/>
      <c r="S2116"/>
      <c r="T2116"/>
      <c r="U2116"/>
      <c r="V2116"/>
      <c r="W2116"/>
      <c r="X2116"/>
      <c r="Y2116"/>
      <c r="Z2116"/>
      <c r="AA2116"/>
      <c r="AB2116"/>
      <c r="AC2116"/>
      <c r="AD2116"/>
      <c r="AE2116"/>
      <c r="AF2116"/>
      <c r="AG2116"/>
      <c r="AH2116"/>
      <c r="AI2116"/>
      <c r="AJ2116"/>
      <c r="AK2116"/>
      <c r="AL2116"/>
      <c r="AM2116"/>
      <c r="AN2116"/>
      <c r="AO2116"/>
      <c r="AP2116"/>
      <c r="AQ2116"/>
      <c r="AR2116"/>
      <c r="AS2116"/>
      <c r="AT2116"/>
      <c r="AU2116"/>
    </row>
    <row r="2117" spans="1:47" s="440" customFormat="1" ht="18" customHeight="1" x14ac:dyDescent="0.35">
      <c r="A2117">
        <f>MATCH(B2117,STUDIES!$A$3:$A$502,0)</f>
        <v>88</v>
      </c>
      <c r="B2117" t="s">
        <v>1738</v>
      </c>
      <c r="C2117" s="456"/>
      <c r="D2117" t="s">
        <v>1749</v>
      </c>
      <c r="E2117" t="s">
        <v>1268</v>
      </c>
      <c r="F2117" s="456" t="str">
        <f>_xlfn.XLOOKUP(B2117,STUDIES!$A$3:$A$1063,STUDIES!$G$3:$G$1063,"Not Found!")</f>
        <v>C</v>
      </c>
      <c r="G2117" s="456" t="s">
        <v>147</v>
      </c>
      <c r="H2117">
        <v>12</v>
      </c>
      <c r="I2117">
        <v>51</v>
      </c>
      <c r="J2117">
        <v>1</v>
      </c>
      <c r="K2117"/>
      <c r="L2117"/>
      <c r="M2117"/>
      <c r="N2117"/>
      <c r="O2117"/>
      <c r="P2117"/>
      <c r="Q2117"/>
      <c r="R2117"/>
      <c r="S2117"/>
      <c r="T2117"/>
      <c r="U2117"/>
      <c r="V2117"/>
      <c r="W2117"/>
      <c r="X2117"/>
      <c r="Y2117"/>
      <c r="Z2117"/>
      <c r="AA2117"/>
      <c r="AB2117"/>
      <c r="AC2117"/>
      <c r="AD2117"/>
      <c r="AE2117"/>
      <c r="AF2117"/>
      <c r="AG2117"/>
      <c r="AH2117"/>
      <c r="AI2117"/>
      <c r="AJ2117"/>
      <c r="AK2117"/>
      <c r="AL2117"/>
      <c r="AM2117"/>
      <c r="AN2117"/>
      <c r="AO2117"/>
      <c r="AP2117"/>
      <c r="AQ2117"/>
      <c r="AR2117"/>
      <c r="AS2117"/>
      <c r="AT2117"/>
      <c r="AU2117"/>
    </row>
    <row r="2118" spans="1:47" s="440" customFormat="1" ht="18" customHeight="1" x14ac:dyDescent="0.35">
      <c r="A2118">
        <f>MATCH(B2118,STUDIES!$A$3:$A$502,0)</f>
        <v>88</v>
      </c>
      <c r="B2118" t="s">
        <v>1738</v>
      </c>
      <c r="C2118" s="456"/>
      <c r="D2118" t="s">
        <v>1047</v>
      </c>
      <c r="E2118" t="s">
        <v>1268</v>
      </c>
      <c r="F2118" s="456" t="str">
        <f>_xlfn.XLOOKUP(B2118,STUDIES!$A$3:$A$1063,STUDIES!$G$3:$G$1063,"Not Found!")</f>
        <v>C</v>
      </c>
      <c r="G2118" s="456" t="s">
        <v>152</v>
      </c>
      <c r="H2118">
        <v>36</v>
      </c>
      <c r="I2118">
        <v>48</v>
      </c>
      <c r="J2118">
        <v>7</v>
      </c>
      <c r="K2118"/>
      <c r="L2118"/>
      <c r="M2118"/>
      <c r="N2118"/>
      <c r="O2118"/>
      <c r="P2118"/>
      <c r="Q2118"/>
      <c r="R2118"/>
      <c r="S2118"/>
      <c r="T2118"/>
      <c r="U2118"/>
      <c r="V2118"/>
      <c r="W2118"/>
      <c r="X2118"/>
      <c r="Y2118"/>
      <c r="Z2118"/>
      <c r="AA2118"/>
      <c r="AB2118"/>
      <c r="AC2118"/>
      <c r="AD2118"/>
      <c r="AE2118"/>
      <c r="AF2118"/>
      <c r="AG2118"/>
      <c r="AH2118"/>
      <c r="AI2118"/>
      <c r="AJ2118"/>
      <c r="AK2118"/>
      <c r="AL2118"/>
      <c r="AM2118"/>
      <c r="AN2118"/>
      <c r="AO2118"/>
      <c r="AP2118"/>
      <c r="AQ2118"/>
      <c r="AR2118"/>
      <c r="AS2118"/>
      <c r="AT2118"/>
      <c r="AU2118"/>
    </row>
    <row r="2119" spans="1:47" s="440" customFormat="1" ht="18" customHeight="1" x14ac:dyDescent="0.35">
      <c r="A2119">
        <f>MATCH(B2119,STUDIES!$A$3:$A$502,0)</f>
        <v>88</v>
      </c>
      <c r="B2119" t="s">
        <v>1738</v>
      </c>
      <c r="C2119" s="456"/>
      <c r="D2119" t="s">
        <v>1749</v>
      </c>
      <c r="E2119" t="s">
        <v>1268</v>
      </c>
      <c r="F2119" s="456" t="str">
        <f>_xlfn.XLOOKUP(B2119,STUDIES!$A$3:$A$1063,STUDIES!$G$3:$G$1063,"Not Found!")</f>
        <v>C</v>
      </c>
      <c r="G2119" s="456" t="s">
        <v>152</v>
      </c>
      <c r="H2119">
        <v>36</v>
      </c>
      <c r="I2119">
        <v>46</v>
      </c>
      <c r="J2119">
        <v>7</v>
      </c>
      <c r="K2119"/>
      <c r="L2119"/>
      <c r="M2119"/>
      <c r="N2119"/>
      <c r="O2119"/>
      <c r="P2119"/>
      <c r="Q2119"/>
      <c r="R2119"/>
      <c r="S2119"/>
      <c r="T2119"/>
      <c r="U2119"/>
      <c r="V2119"/>
      <c r="W2119"/>
      <c r="X2119"/>
      <c r="Y2119"/>
      <c r="Z2119"/>
      <c r="AA2119"/>
      <c r="AB2119"/>
      <c r="AC2119"/>
      <c r="AD2119"/>
      <c r="AE2119"/>
      <c r="AF2119"/>
      <c r="AG2119"/>
      <c r="AH2119"/>
      <c r="AI2119"/>
      <c r="AJ2119"/>
      <c r="AK2119"/>
      <c r="AL2119"/>
      <c r="AM2119"/>
      <c r="AN2119"/>
      <c r="AO2119"/>
      <c r="AP2119"/>
      <c r="AQ2119"/>
      <c r="AR2119"/>
      <c r="AS2119"/>
      <c r="AT2119"/>
      <c r="AU2119"/>
    </row>
    <row r="2120" spans="1:47" s="440" customFormat="1" ht="18" customHeight="1" x14ac:dyDescent="0.35">
      <c r="A2120">
        <f>MATCH(B2120,STUDIES!$A$3:$A$502,0)</f>
        <v>88</v>
      </c>
      <c r="B2120" t="s">
        <v>1738</v>
      </c>
      <c r="C2120" s="456"/>
      <c r="D2120" t="s">
        <v>1047</v>
      </c>
      <c r="E2120" t="s">
        <v>694</v>
      </c>
      <c r="F2120" s="456" t="str">
        <f>_xlfn.XLOOKUP(B2120,STUDIES!$A$3:$A$1063,STUDIES!$G$3:$G$1063,"Not Found!")</f>
        <v>C</v>
      </c>
      <c r="G2120" s="456" t="s">
        <v>147</v>
      </c>
      <c r="H2120">
        <v>12</v>
      </c>
      <c r="I2120">
        <v>49</v>
      </c>
      <c r="J2120"/>
      <c r="K2120">
        <v>14.67</v>
      </c>
      <c r="L2120"/>
      <c r="M2120">
        <v>6.96</v>
      </c>
      <c r="N2120"/>
      <c r="O2120"/>
      <c r="P2120"/>
      <c r="Q2120"/>
      <c r="R2120"/>
      <c r="S2120"/>
      <c r="T2120"/>
      <c r="U2120"/>
      <c r="V2120"/>
      <c r="W2120"/>
      <c r="X2120">
        <v>7.09</v>
      </c>
      <c r="Y2120">
        <v>0.76</v>
      </c>
      <c r="Z2120"/>
      <c r="AA2120"/>
      <c r="AB2120"/>
      <c r="AC2120"/>
      <c r="AD2120"/>
      <c r="AE2120"/>
      <c r="AF2120"/>
      <c r="AG2120"/>
      <c r="AH2120"/>
      <c r="AI2120"/>
      <c r="AJ2120"/>
      <c r="AK2120"/>
      <c r="AL2120"/>
      <c r="AM2120"/>
      <c r="AN2120"/>
      <c r="AO2120"/>
      <c r="AP2120"/>
      <c r="AQ2120"/>
      <c r="AR2120"/>
      <c r="AS2120"/>
      <c r="AT2120"/>
      <c r="AU2120"/>
    </row>
    <row r="2121" spans="1:47" s="440" customFormat="1" ht="18" customHeight="1" x14ac:dyDescent="0.35">
      <c r="A2121">
        <f>MATCH(B2121,STUDIES!$A$3:$A$502,0)</f>
        <v>88</v>
      </c>
      <c r="B2121" t="s">
        <v>1738</v>
      </c>
      <c r="C2121" s="456"/>
      <c r="D2121" t="s">
        <v>1749</v>
      </c>
      <c r="E2121" t="s">
        <v>694</v>
      </c>
      <c r="F2121" s="456" t="str">
        <f>_xlfn.XLOOKUP(B2121,STUDIES!$A$3:$A$1063,STUDIES!$G$3:$G$1063,"Not Found!")</f>
        <v>C</v>
      </c>
      <c r="G2121" s="456" t="s">
        <v>147</v>
      </c>
      <c r="H2121">
        <v>12</v>
      </c>
      <c r="I2121">
        <v>49</v>
      </c>
      <c r="J2121"/>
      <c r="K2121">
        <v>15.26</v>
      </c>
      <c r="L2121"/>
      <c r="M2121">
        <v>6.57</v>
      </c>
      <c r="N2121"/>
      <c r="O2121"/>
      <c r="P2121"/>
      <c r="Q2121"/>
      <c r="R2121"/>
      <c r="S2121"/>
      <c r="T2121"/>
      <c r="U2121"/>
      <c r="V2121"/>
      <c r="W2121"/>
      <c r="X2121">
        <v>8.4499999999999993</v>
      </c>
      <c r="Y2121">
        <v>0.76</v>
      </c>
      <c r="Z2121"/>
      <c r="AA2121"/>
      <c r="AB2121"/>
      <c r="AC2121"/>
      <c r="AD2121"/>
      <c r="AE2121"/>
      <c r="AF2121"/>
      <c r="AG2121"/>
      <c r="AH2121"/>
      <c r="AI2121"/>
      <c r="AJ2121"/>
      <c r="AK2121"/>
      <c r="AL2121"/>
      <c r="AM2121"/>
      <c r="AN2121"/>
      <c r="AO2121"/>
      <c r="AP2121"/>
      <c r="AQ2121"/>
      <c r="AR2121"/>
      <c r="AS2121"/>
      <c r="AT2121"/>
      <c r="AU2121"/>
    </row>
    <row r="2122" spans="1:47" s="440" customFormat="1" ht="18" customHeight="1" x14ac:dyDescent="0.35">
      <c r="A2122">
        <f>MATCH(B2122,STUDIES!$A$3:$A$502,0)</f>
        <v>88</v>
      </c>
      <c r="B2122" t="s">
        <v>1738</v>
      </c>
      <c r="C2122" s="456"/>
      <c r="D2122" t="s">
        <v>1047</v>
      </c>
      <c r="E2122" t="s">
        <v>694</v>
      </c>
      <c r="F2122" s="456" t="str">
        <f>_xlfn.XLOOKUP(B2122,STUDIES!$A$3:$A$1063,STUDIES!$G$3:$G$1063,"Not Found!")</f>
        <v>C</v>
      </c>
      <c r="G2122" s="456" t="s">
        <v>152</v>
      </c>
      <c r="H2122">
        <v>36</v>
      </c>
      <c r="I2122">
        <v>48</v>
      </c>
      <c r="J2122"/>
      <c r="K2122">
        <v>14.67</v>
      </c>
      <c r="L2122"/>
      <c r="M2122">
        <v>6.96</v>
      </c>
      <c r="N2122"/>
      <c r="O2122"/>
      <c r="P2122"/>
      <c r="Q2122"/>
      <c r="R2122"/>
      <c r="S2122"/>
      <c r="T2122"/>
      <c r="U2122"/>
      <c r="V2122"/>
      <c r="W2122"/>
      <c r="X2122">
        <v>7.63</v>
      </c>
      <c r="Y2122">
        <v>0.57999999999999996</v>
      </c>
      <c r="Z2122"/>
      <c r="AA2122"/>
      <c r="AB2122"/>
      <c r="AC2122"/>
      <c r="AD2122"/>
      <c r="AE2122"/>
      <c r="AF2122"/>
      <c r="AG2122"/>
      <c r="AH2122"/>
      <c r="AI2122"/>
      <c r="AJ2122"/>
      <c r="AK2122"/>
      <c r="AL2122"/>
      <c r="AM2122"/>
      <c r="AN2122"/>
      <c r="AO2122"/>
      <c r="AP2122"/>
      <c r="AQ2122"/>
      <c r="AR2122"/>
      <c r="AS2122"/>
      <c r="AT2122"/>
      <c r="AU2122"/>
    </row>
    <row r="2123" spans="1:47" s="440" customFormat="1" ht="18" customHeight="1" x14ac:dyDescent="0.35">
      <c r="A2123">
        <f>MATCH(B2123,STUDIES!$A$3:$A$502,0)</f>
        <v>88</v>
      </c>
      <c r="B2123" t="s">
        <v>1738</v>
      </c>
      <c r="C2123" s="456"/>
      <c r="D2123" t="s">
        <v>1749</v>
      </c>
      <c r="E2123" t="s">
        <v>694</v>
      </c>
      <c r="F2123" s="456" t="str">
        <f>_xlfn.XLOOKUP(B2123,STUDIES!$A$3:$A$1063,STUDIES!$G$3:$G$1063,"Not Found!")</f>
        <v>C</v>
      </c>
      <c r="G2123" s="456" t="s">
        <v>152</v>
      </c>
      <c r="H2123">
        <v>36</v>
      </c>
      <c r="I2123">
        <v>42</v>
      </c>
      <c r="J2123"/>
      <c r="K2123">
        <v>15.26</v>
      </c>
      <c r="L2123"/>
      <c r="M2123">
        <v>6.57</v>
      </c>
      <c r="N2123"/>
      <c r="O2123"/>
      <c r="P2123"/>
      <c r="Q2123"/>
      <c r="R2123"/>
      <c r="S2123"/>
      <c r="T2123"/>
      <c r="U2123"/>
      <c r="V2123"/>
      <c r="W2123"/>
      <c r="X2123">
        <v>7.8</v>
      </c>
      <c r="Y2123">
        <v>0.59</v>
      </c>
      <c r="Z2123"/>
      <c r="AA2123"/>
      <c r="AB2123"/>
      <c r="AC2123"/>
      <c r="AD2123"/>
      <c r="AE2123"/>
      <c r="AF2123"/>
      <c r="AG2123"/>
      <c r="AH2123"/>
      <c r="AI2123"/>
      <c r="AJ2123"/>
      <c r="AK2123"/>
      <c r="AL2123"/>
      <c r="AM2123"/>
      <c r="AN2123"/>
      <c r="AO2123"/>
      <c r="AP2123"/>
      <c r="AQ2123"/>
      <c r="AR2123"/>
      <c r="AS2123"/>
      <c r="AT2123"/>
      <c r="AU2123"/>
    </row>
    <row r="2124" spans="1:47" s="440" customFormat="1" ht="18" customHeight="1" x14ac:dyDescent="0.35">
      <c r="A2124">
        <f>MATCH(B2124,STUDIES!$A$3:$A$502,0)</f>
        <v>88</v>
      </c>
      <c r="B2124" t="s">
        <v>1738</v>
      </c>
      <c r="C2124" s="456"/>
      <c r="D2124" t="s">
        <v>1047</v>
      </c>
      <c r="E2124" t="s">
        <v>153</v>
      </c>
      <c r="F2124" s="456" t="str">
        <f>_xlfn.XLOOKUP(B2124,STUDIES!$A$3:$A$1063,STUDIES!$G$3:$G$1063,"Not Found!")</f>
        <v>C</v>
      </c>
      <c r="G2124" s="456" t="s">
        <v>147</v>
      </c>
      <c r="H2124">
        <v>12</v>
      </c>
      <c r="I2124">
        <v>50</v>
      </c>
      <c r="J2124"/>
      <c r="K2124">
        <v>20.399999999999999</v>
      </c>
      <c r="L2124"/>
      <c r="M2124">
        <v>5.26</v>
      </c>
      <c r="N2124"/>
      <c r="O2124"/>
      <c r="P2124"/>
      <c r="Q2124"/>
      <c r="R2124"/>
      <c r="S2124"/>
      <c r="T2124"/>
      <c r="U2124"/>
      <c r="V2124"/>
      <c r="W2124"/>
      <c r="X2124">
        <v>9.2799999999999994</v>
      </c>
      <c r="Y2124">
        <v>0.72</v>
      </c>
      <c r="Z2124"/>
      <c r="AA2124"/>
      <c r="AB2124"/>
      <c r="AC2124"/>
      <c r="AD2124"/>
      <c r="AE2124"/>
      <c r="AF2124"/>
      <c r="AG2124"/>
      <c r="AH2124"/>
      <c r="AI2124"/>
      <c r="AJ2124"/>
      <c r="AK2124"/>
      <c r="AL2124"/>
      <c r="AM2124"/>
      <c r="AN2124"/>
      <c r="AO2124"/>
      <c r="AP2124"/>
      <c r="AQ2124"/>
      <c r="AR2124"/>
      <c r="AS2124"/>
      <c r="AT2124"/>
      <c r="AU2124"/>
    </row>
    <row r="2125" spans="1:47" s="440" customFormat="1" ht="18" customHeight="1" x14ac:dyDescent="0.35">
      <c r="A2125">
        <f>MATCH(B2125,STUDIES!$A$3:$A$502,0)</f>
        <v>88</v>
      </c>
      <c r="B2125" t="s">
        <v>1738</v>
      </c>
      <c r="C2125" s="456"/>
      <c r="D2125" t="s">
        <v>1749</v>
      </c>
      <c r="E2125" t="s">
        <v>153</v>
      </c>
      <c r="F2125" s="456" t="str">
        <f>_xlfn.XLOOKUP(B2125,STUDIES!$A$3:$A$1063,STUDIES!$G$3:$G$1063,"Not Found!")</f>
        <v>C</v>
      </c>
      <c r="G2125" s="456" t="s">
        <v>147</v>
      </c>
      <c r="H2125">
        <v>12</v>
      </c>
      <c r="I2125">
        <v>49</v>
      </c>
      <c r="J2125"/>
      <c r="K2125">
        <v>20.84</v>
      </c>
      <c r="L2125"/>
      <c r="M2125">
        <v>5.47</v>
      </c>
      <c r="N2125"/>
      <c r="O2125"/>
      <c r="P2125"/>
      <c r="Q2125"/>
      <c r="R2125"/>
      <c r="S2125"/>
      <c r="T2125"/>
      <c r="U2125"/>
      <c r="V2125"/>
      <c r="W2125"/>
      <c r="X2125">
        <v>12.01</v>
      </c>
      <c r="Y2125">
        <v>0.72</v>
      </c>
      <c r="Z2125"/>
      <c r="AA2125"/>
      <c r="AB2125"/>
      <c r="AC2125"/>
      <c r="AD2125"/>
      <c r="AE2125"/>
      <c r="AF2125"/>
      <c r="AG2125"/>
      <c r="AH2125"/>
      <c r="AI2125"/>
      <c r="AJ2125"/>
      <c r="AK2125"/>
      <c r="AL2125"/>
      <c r="AM2125"/>
      <c r="AN2125"/>
      <c r="AO2125"/>
      <c r="AP2125"/>
      <c r="AQ2125"/>
      <c r="AR2125"/>
      <c r="AS2125"/>
      <c r="AT2125"/>
      <c r="AU2125"/>
    </row>
    <row r="2126" spans="1:47" s="440" customFormat="1" ht="18" customHeight="1" x14ac:dyDescent="0.35">
      <c r="A2126">
        <f>MATCH(B2126,STUDIES!$A$3:$A$502,0)</f>
        <v>88</v>
      </c>
      <c r="B2126" t="s">
        <v>1738</v>
      </c>
      <c r="C2126" s="456"/>
      <c r="D2126" t="s">
        <v>1047</v>
      </c>
      <c r="E2126" t="s">
        <v>153</v>
      </c>
      <c r="F2126" s="456" t="str">
        <f>_xlfn.XLOOKUP(B2126,STUDIES!$A$3:$A$1063,STUDIES!$G$3:$G$1063,"Not Found!")</f>
        <v>C</v>
      </c>
      <c r="G2126" s="456" t="s">
        <v>152</v>
      </c>
      <c r="H2126">
        <v>36</v>
      </c>
      <c r="I2126">
        <v>50</v>
      </c>
      <c r="J2126"/>
      <c r="K2126">
        <v>20.399999999999999</v>
      </c>
      <c r="L2126"/>
      <c r="M2126">
        <v>5.26</v>
      </c>
      <c r="N2126"/>
      <c r="O2126"/>
      <c r="P2126"/>
      <c r="Q2126"/>
      <c r="R2126"/>
      <c r="S2126"/>
      <c r="T2126"/>
      <c r="U2126"/>
      <c r="V2126"/>
      <c r="W2126"/>
      <c r="X2126">
        <v>10.1</v>
      </c>
      <c r="Y2126">
        <v>0.72</v>
      </c>
      <c r="Z2126"/>
      <c r="AA2126"/>
      <c r="AB2126"/>
      <c r="AC2126"/>
      <c r="AD2126"/>
      <c r="AE2126"/>
      <c r="AF2126"/>
      <c r="AG2126"/>
      <c r="AH2126"/>
      <c r="AI2126"/>
      <c r="AJ2126"/>
      <c r="AK2126"/>
      <c r="AL2126"/>
      <c r="AM2126"/>
      <c r="AN2126"/>
      <c r="AO2126"/>
      <c r="AP2126"/>
      <c r="AQ2126"/>
      <c r="AR2126"/>
      <c r="AS2126"/>
      <c r="AT2126"/>
      <c r="AU2126"/>
    </row>
    <row r="2127" spans="1:47" s="440" customFormat="1" ht="18" customHeight="1" x14ac:dyDescent="0.35">
      <c r="A2127">
        <f>MATCH(B2127,STUDIES!$A$3:$A$502,0)</f>
        <v>88</v>
      </c>
      <c r="B2127" t="s">
        <v>1738</v>
      </c>
      <c r="C2127" s="456"/>
      <c r="D2127" t="s">
        <v>1749</v>
      </c>
      <c r="E2127" t="s">
        <v>153</v>
      </c>
      <c r="F2127" s="456" t="str">
        <f>_xlfn.XLOOKUP(B2127,STUDIES!$A$3:$A$1063,STUDIES!$G$3:$G$1063,"Not Found!")</f>
        <v>C</v>
      </c>
      <c r="G2127" s="456" t="s">
        <v>152</v>
      </c>
      <c r="H2127">
        <v>36</v>
      </c>
      <c r="I2127">
        <v>49</v>
      </c>
      <c r="J2127"/>
      <c r="K2127">
        <v>20.84</v>
      </c>
      <c r="L2127"/>
      <c r="M2127">
        <v>5.47</v>
      </c>
      <c r="N2127"/>
      <c r="O2127"/>
      <c r="P2127"/>
      <c r="Q2127"/>
      <c r="R2127"/>
      <c r="S2127"/>
      <c r="T2127"/>
      <c r="U2127"/>
      <c r="V2127"/>
      <c r="W2127"/>
      <c r="X2127">
        <v>9.89</v>
      </c>
      <c r="Y2127">
        <v>0.72</v>
      </c>
      <c r="Z2127"/>
      <c r="AA2127"/>
      <c r="AB2127"/>
      <c r="AC2127"/>
      <c r="AD2127"/>
      <c r="AE2127"/>
      <c r="AF2127"/>
      <c r="AG2127"/>
      <c r="AH2127"/>
      <c r="AI2127"/>
      <c r="AJ2127"/>
      <c r="AK2127"/>
      <c r="AL2127"/>
      <c r="AM2127"/>
      <c r="AN2127"/>
      <c r="AO2127"/>
      <c r="AP2127"/>
      <c r="AQ2127"/>
      <c r="AR2127"/>
      <c r="AS2127"/>
      <c r="AT2127"/>
      <c r="AU2127"/>
    </row>
    <row r="2128" spans="1:47" s="440" customFormat="1" ht="18" customHeight="1" x14ac:dyDescent="0.35">
      <c r="A2128">
        <f>MATCH(B2128,STUDIES!$A$3:$A$502,0)</f>
        <v>89</v>
      </c>
      <c r="B2128" t="s">
        <v>1754</v>
      </c>
      <c r="C2128" s="456"/>
      <c r="D2128" t="s">
        <v>1762</v>
      </c>
      <c r="E2128" t="s">
        <v>290</v>
      </c>
      <c r="F2128" s="456" t="str">
        <f>_xlfn.XLOOKUP(B2128,STUDIES!$A$3:$A$1063,STUDIES!$G$3:$G$1063,"Not Found!")</f>
        <v>C</v>
      </c>
      <c r="G2128" s="456" t="s">
        <v>147</v>
      </c>
      <c r="H2128">
        <v>16</v>
      </c>
      <c r="I2128">
        <v>45</v>
      </c>
      <c r="J2128"/>
      <c r="K2128">
        <v>6.7</v>
      </c>
      <c r="L2128"/>
      <c r="M2128">
        <v>1.4</v>
      </c>
      <c r="N2128"/>
      <c r="O2128"/>
      <c r="P2128"/>
      <c r="Q2128"/>
      <c r="R2128"/>
      <c r="S2128"/>
      <c r="T2128"/>
      <c r="U2128"/>
      <c r="V2128"/>
      <c r="W2128"/>
      <c r="X2128">
        <v>3.4</v>
      </c>
      <c r="Y2128"/>
      <c r="Z2128">
        <v>2.2000000000000002</v>
      </c>
      <c r="AA2128"/>
      <c r="AB2128"/>
      <c r="AC2128"/>
      <c r="AD2128"/>
      <c r="AE2128"/>
      <c r="AF2128"/>
      <c r="AG2128"/>
      <c r="AH2128"/>
      <c r="AI2128"/>
      <c r="AJ2128"/>
      <c r="AK2128"/>
      <c r="AL2128"/>
      <c r="AM2128"/>
      <c r="AN2128"/>
      <c r="AO2128"/>
      <c r="AP2128"/>
      <c r="AQ2128"/>
      <c r="AR2128"/>
      <c r="AS2128"/>
      <c r="AT2128"/>
      <c r="AU2128"/>
    </row>
    <row r="2129" spans="1:47" s="440" customFormat="1" ht="18" customHeight="1" x14ac:dyDescent="0.35">
      <c r="A2129">
        <f>MATCH(B2129,STUDIES!$A$3:$A$502,0)</f>
        <v>89</v>
      </c>
      <c r="B2129" t="s">
        <v>1754</v>
      </c>
      <c r="C2129" s="456"/>
      <c r="D2129" t="s">
        <v>148</v>
      </c>
      <c r="E2129" t="s">
        <v>290</v>
      </c>
      <c r="F2129" s="456" t="str">
        <f>_xlfn.XLOOKUP(B2129,STUDIES!$A$3:$A$1063,STUDIES!$G$3:$G$1063,"Not Found!")</f>
        <v>C</v>
      </c>
      <c r="G2129" s="456" t="s">
        <v>147</v>
      </c>
      <c r="H2129">
        <v>16</v>
      </c>
      <c r="I2129">
        <v>44</v>
      </c>
      <c r="J2129"/>
      <c r="K2129">
        <v>6.7</v>
      </c>
      <c r="L2129"/>
      <c r="M2129">
        <v>1.5</v>
      </c>
      <c r="N2129"/>
      <c r="O2129"/>
      <c r="P2129"/>
      <c r="Q2129"/>
      <c r="R2129"/>
      <c r="S2129"/>
      <c r="T2129"/>
      <c r="U2129"/>
      <c r="V2129"/>
      <c r="W2129"/>
      <c r="X2129">
        <v>5.3</v>
      </c>
      <c r="Y2129"/>
      <c r="Z2129">
        <v>1.9</v>
      </c>
      <c r="AA2129"/>
      <c r="AB2129"/>
      <c r="AC2129"/>
      <c r="AD2129"/>
      <c r="AE2129"/>
      <c r="AF2129"/>
      <c r="AG2129"/>
      <c r="AH2129"/>
      <c r="AI2129"/>
      <c r="AJ2129"/>
      <c r="AK2129"/>
      <c r="AL2129"/>
      <c r="AM2129"/>
      <c r="AN2129"/>
      <c r="AO2129"/>
      <c r="AP2129"/>
      <c r="AQ2129"/>
      <c r="AR2129"/>
      <c r="AS2129"/>
      <c r="AT2129"/>
      <c r="AU2129"/>
    </row>
    <row r="2130" spans="1:47" ht="18" customHeight="1" x14ac:dyDescent="0.35">
      <c r="A2130">
        <f>MATCH(B2130,STUDIES!$A$3:$A$502,0)</f>
        <v>89</v>
      </c>
      <c r="B2130" t="s">
        <v>1754</v>
      </c>
      <c r="C2130" s="456"/>
      <c r="D2130" t="s">
        <v>1762</v>
      </c>
      <c r="E2130" t="s">
        <v>151</v>
      </c>
      <c r="F2130" s="456" t="str">
        <f>_xlfn.XLOOKUP(B2130,STUDIES!$A$3:$A$1063,STUDIES!$G$3:$G$1063,"Not Found!")</f>
        <v>C</v>
      </c>
      <c r="G2130" s="456" t="s">
        <v>147</v>
      </c>
      <c r="H2130">
        <v>16</v>
      </c>
      <c r="I2130">
        <v>45</v>
      </c>
      <c r="J2130"/>
      <c r="K2130">
        <v>19.8</v>
      </c>
      <c r="L2130"/>
      <c r="M2130">
        <v>7.9</v>
      </c>
      <c r="N2130"/>
      <c r="O2130"/>
      <c r="P2130"/>
      <c r="Q2130"/>
      <c r="R2130"/>
      <c r="S2130"/>
      <c r="T2130"/>
      <c r="U2130"/>
      <c r="V2130"/>
      <c r="W2130"/>
      <c r="X2130">
        <v>9.9</v>
      </c>
      <c r="Y2130"/>
      <c r="Z2130">
        <v>9.6</v>
      </c>
      <c r="AA2130"/>
      <c r="AB2130"/>
      <c r="AC2130"/>
      <c r="AD2130"/>
      <c r="AE2130"/>
      <c r="AF2130"/>
      <c r="AG2130"/>
      <c r="AH2130"/>
      <c r="AI2130"/>
      <c r="AJ2130"/>
      <c r="AK2130"/>
      <c r="AL2130"/>
      <c r="AM2130"/>
      <c r="AN2130"/>
      <c r="AO2130"/>
      <c r="AP2130"/>
      <c r="AQ2130"/>
      <c r="AR2130"/>
      <c r="AS2130"/>
      <c r="AT2130"/>
      <c r="AU2130"/>
    </row>
    <row r="2131" spans="1:47" ht="18" customHeight="1" x14ac:dyDescent="0.35">
      <c r="A2131">
        <f>MATCH(B2131,STUDIES!$A$3:$A$502,0)</f>
        <v>89</v>
      </c>
      <c r="B2131" t="s">
        <v>1754</v>
      </c>
      <c r="C2131" s="456"/>
      <c r="D2131" t="s">
        <v>148</v>
      </c>
      <c r="E2131" t="s">
        <v>151</v>
      </c>
      <c r="F2131" s="456" t="str">
        <f>_xlfn.XLOOKUP(B2131,STUDIES!$A$3:$A$1063,STUDIES!$G$3:$G$1063,"Not Found!")</f>
        <v>C</v>
      </c>
      <c r="G2131" s="456" t="s">
        <v>147</v>
      </c>
      <c r="H2131">
        <v>16</v>
      </c>
      <c r="I2131">
        <v>44</v>
      </c>
      <c r="J2131"/>
      <c r="K2131">
        <v>16.2</v>
      </c>
      <c r="L2131"/>
      <c r="M2131">
        <v>6.1</v>
      </c>
      <c r="N2131"/>
      <c r="O2131"/>
      <c r="P2131"/>
      <c r="Q2131"/>
      <c r="R2131"/>
      <c r="S2131"/>
      <c r="T2131"/>
      <c r="U2131"/>
      <c r="V2131"/>
      <c r="W2131"/>
      <c r="X2131">
        <v>8.6999999999999993</v>
      </c>
      <c r="Y2131"/>
      <c r="Z2131">
        <v>6.2</v>
      </c>
      <c r="AA2131"/>
      <c r="AB2131"/>
      <c r="AC2131"/>
      <c r="AD2131"/>
      <c r="AE2131"/>
      <c r="AF2131"/>
      <c r="AG2131"/>
      <c r="AH2131"/>
      <c r="AI2131"/>
      <c r="AJ2131"/>
      <c r="AK2131"/>
      <c r="AL2131"/>
      <c r="AM2131"/>
      <c r="AN2131"/>
      <c r="AO2131"/>
      <c r="AP2131"/>
      <c r="AQ2131"/>
      <c r="AR2131"/>
      <c r="AS2131"/>
      <c r="AT2131"/>
      <c r="AU2131"/>
    </row>
    <row r="2132" spans="1:47" ht="18" customHeight="1" x14ac:dyDescent="0.35">
      <c r="A2132">
        <f>MATCH(B2132,STUDIES!$A$3:$A$502,0)</f>
        <v>89</v>
      </c>
      <c r="B2132" t="s">
        <v>1754</v>
      </c>
      <c r="C2132" s="456"/>
      <c r="D2132" t="s">
        <v>1762</v>
      </c>
      <c r="E2132" t="s">
        <v>153</v>
      </c>
      <c r="F2132" s="456" t="str">
        <f>_xlfn.XLOOKUP(B2132,STUDIES!$A$3:$A$1063,STUDIES!$G$3:$G$1063,"Not Found!")</f>
        <v>C</v>
      </c>
      <c r="G2132" s="456" t="s">
        <v>147</v>
      </c>
      <c r="H2132">
        <v>16</v>
      </c>
      <c r="I2132">
        <v>45</v>
      </c>
      <c r="J2132"/>
      <c r="K2132">
        <v>16.8</v>
      </c>
      <c r="L2132"/>
      <c r="M2132">
        <v>5.6</v>
      </c>
      <c r="N2132"/>
      <c r="O2132"/>
      <c r="P2132"/>
      <c r="Q2132"/>
      <c r="R2132"/>
      <c r="S2132"/>
      <c r="T2132"/>
      <c r="U2132"/>
      <c r="V2132"/>
      <c r="W2132"/>
      <c r="X2132">
        <v>7.2</v>
      </c>
      <c r="Y2132"/>
      <c r="Z2132">
        <v>5.7</v>
      </c>
      <c r="AA2132"/>
      <c r="AB2132"/>
      <c r="AC2132"/>
      <c r="AD2132"/>
      <c r="AE2132"/>
      <c r="AF2132"/>
      <c r="AG2132"/>
      <c r="AH2132"/>
      <c r="AI2132"/>
      <c r="AJ2132"/>
      <c r="AK2132"/>
      <c r="AL2132"/>
      <c r="AM2132"/>
      <c r="AN2132"/>
      <c r="AO2132"/>
      <c r="AP2132"/>
      <c r="AQ2132"/>
      <c r="AR2132"/>
      <c r="AS2132"/>
      <c r="AT2132"/>
      <c r="AU2132"/>
    </row>
    <row r="2133" spans="1:47" ht="18" customHeight="1" x14ac:dyDescent="0.35">
      <c r="A2133">
        <f>MATCH(B2133,STUDIES!$A$3:$A$502,0)</f>
        <v>89</v>
      </c>
      <c r="B2133" t="s">
        <v>1754</v>
      </c>
      <c r="C2133" s="456"/>
      <c r="D2133" t="s">
        <v>148</v>
      </c>
      <c r="E2133" t="s">
        <v>153</v>
      </c>
      <c r="F2133" s="456" t="str">
        <f>_xlfn.XLOOKUP(B2133,STUDIES!$A$3:$A$1063,STUDIES!$G$3:$G$1063,"Not Found!")</f>
        <v>C</v>
      </c>
      <c r="G2133" s="456" t="s">
        <v>147</v>
      </c>
      <c r="H2133">
        <v>16</v>
      </c>
      <c r="I2133">
        <v>44</v>
      </c>
      <c r="J2133"/>
      <c r="K2133">
        <v>16.600000000000001</v>
      </c>
      <c r="L2133"/>
      <c r="M2133">
        <v>6.5</v>
      </c>
      <c r="N2133"/>
      <c r="O2133"/>
      <c r="P2133"/>
      <c r="Q2133"/>
      <c r="R2133"/>
      <c r="S2133"/>
      <c r="T2133"/>
      <c r="U2133"/>
      <c r="V2133"/>
      <c r="W2133"/>
      <c r="X2133">
        <v>14.3</v>
      </c>
      <c r="Y2133"/>
      <c r="Z2133">
        <v>7</v>
      </c>
      <c r="AA2133"/>
      <c r="AB2133"/>
      <c r="AC2133"/>
      <c r="AD2133"/>
      <c r="AE2133"/>
      <c r="AF2133"/>
      <c r="AG2133"/>
      <c r="AH2133"/>
      <c r="AI2133"/>
      <c r="AJ2133"/>
      <c r="AK2133"/>
      <c r="AL2133"/>
      <c r="AM2133"/>
      <c r="AN2133"/>
      <c r="AO2133"/>
      <c r="AP2133"/>
      <c r="AQ2133"/>
      <c r="AR2133"/>
      <c r="AS2133"/>
      <c r="AT2133"/>
      <c r="AU2133"/>
    </row>
    <row r="2134" spans="1:47" ht="18" customHeight="1" x14ac:dyDescent="0.35">
      <c r="A2134">
        <f>MATCH(B2134,STUDIES!$A$3:$A$502,0)</f>
        <v>89</v>
      </c>
      <c r="B2134" t="s">
        <v>1754</v>
      </c>
      <c r="C2134" s="456"/>
      <c r="D2134" t="s">
        <v>1762</v>
      </c>
      <c r="E2134" t="s">
        <v>694</v>
      </c>
      <c r="F2134" s="456" t="str">
        <f>_xlfn.XLOOKUP(B2134,STUDIES!$A$3:$A$1063,STUDIES!$G$3:$G$1063,"Not Found!")</f>
        <v>C</v>
      </c>
      <c r="G2134" s="456" t="s">
        <v>147</v>
      </c>
      <c r="H2134">
        <v>16</v>
      </c>
      <c r="I2134">
        <v>45</v>
      </c>
      <c r="J2134"/>
      <c r="K2134">
        <v>8.1</v>
      </c>
      <c r="L2134"/>
      <c r="M2134">
        <v>4.3</v>
      </c>
      <c r="N2134"/>
      <c r="O2134"/>
      <c r="P2134"/>
      <c r="Q2134"/>
      <c r="R2134"/>
      <c r="S2134"/>
      <c r="T2134"/>
      <c r="U2134"/>
      <c r="V2134"/>
      <c r="W2134"/>
      <c r="X2134">
        <v>2.4</v>
      </c>
      <c r="Y2134"/>
      <c r="Z2134">
        <v>2.5</v>
      </c>
      <c r="AA2134"/>
      <c r="AB2134"/>
      <c r="AC2134"/>
      <c r="AD2134"/>
      <c r="AE2134"/>
      <c r="AF2134"/>
      <c r="AG2134"/>
      <c r="AH2134"/>
      <c r="AI2134"/>
      <c r="AJ2134"/>
      <c r="AK2134"/>
      <c r="AL2134"/>
      <c r="AM2134"/>
      <c r="AN2134"/>
      <c r="AO2134"/>
      <c r="AP2134"/>
      <c r="AQ2134"/>
      <c r="AR2134"/>
      <c r="AS2134"/>
      <c r="AT2134"/>
      <c r="AU2134"/>
    </row>
    <row r="2135" spans="1:47" ht="18" customHeight="1" x14ac:dyDescent="0.35">
      <c r="A2135">
        <f>MATCH(B2135,STUDIES!$A$3:$A$502,0)</f>
        <v>89</v>
      </c>
      <c r="B2135" t="s">
        <v>1754</v>
      </c>
      <c r="C2135" s="456"/>
      <c r="D2135" t="s">
        <v>148</v>
      </c>
      <c r="E2135" t="s">
        <v>694</v>
      </c>
      <c r="F2135" s="456" t="str">
        <f>_xlfn.XLOOKUP(B2135,STUDIES!$A$3:$A$1063,STUDIES!$G$3:$G$1063,"Not Found!")</f>
        <v>C</v>
      </c>
      <c r="G2135" s="456" t="s">
        <v>147</v>
      </c>
      <c r="H2135">
        <v>16</v>
      </c>
      <c r="I2135">
        <v>44</v>
      </c>
      <c r="J2135"/>
      <c r="K2135">
        <v>8.5</v>
      </c>
      <c r="L2135"/>
      <c r="M2135">
        <v>4.2</v>
      </c>
      <c r="N2135"/>
      <c r="O2135"/>
      <c r="P2135"/>
      <c r="Q2135"/>
      <c r="R2135"/>
      <c r="S2135"/>
      <c r="T2135"/>
      <c r="U2135"/>
      <c r="V2135"/>
      <c r="W2135"/>
      <c r="X2135">
        <v>5.3</v>
      </c>
      <c r="Y2135"/>
      <c r="Z2135">
        <v>3.4</v>
      </c>
      <c r="AA2135"/>
      <c r="AB2135"/>
      <c r="AC2135"/>
      <c r="AD2135"/>
      <c r="AE2135"/>
      <c r="AF2135"/>
      <c r="AG2135"/>
      <c r="AH2135"/>
      <c r="AI2135"/>
      <c r="AJ2135"/>
      <c r="AK2135"/>
      <c r="AL2135"/>
      <c r="AM2135"/>
      <c r="AN2135"/>
      <c r="AO2135"/>
      <c r="AP2135"/>
      <c r="AQ2135"/>
      <c r="AR2135"/>
      <c r="AS2135"/>
      <c r="AT2135"/>
      <c r="AU2135"/>
    </row>
    <row r="2136" spans="1:47" ht="18" customHeight="1" x14ac:dyDescent="0.35">
      <c r="A2136">
        <f>MATCH(B2136,STUDIES!$A$3:$A$502,0)</f>
        <v>89</v>
      </c>
      <c r="B2136" t="s">
        <v>1754</v>
      </c>
      <c r="C2136" s="456"/>
      <c r="D2136" t="s">
        <v>1762</v>
      </c>
      <c r="E2136" t="s">
        <v>1258</v>
      </c>
      <c r="F2136" s="456" t="str">
        <f>_xlfn.XLOOKUP(B2136,STUDIES!$A$3:$A$1063,STUDIES!$G$3:$G$1063,"Not Found!")</f>
        <v>C</v>
      </c>
      <c r="G2136" s="456" t="s">
        <v>147</v>
      </c>
      <c r="H2136">
        <v>16</v>
      </c>
      <c r="I2136">
        <v>45</v>
      </c>
      <c r="J2136">
        <v>26</v>
      </c>
      <c r="K2136"/>
      <c r="L2136"/>
      <c r="M2136"/>
      <c r="N2136"/>
      <c r="O2136"/>
      <c r="P2136"/>
      <c r="Q2136"/>
      <c r="R2136"/>
      <c r="S2136"/>
      <c r="T2136"/>
      <c r="U2136"/>
      <c r="V2136"/>
      <c r="W2136"/>
      <c r="X2136"/>
      <c r="Y2136"/>
      <c r="Z2136"/>
      <c r="AA2136"/>
      <c r="AB2136"/>
      <c r="AC2136"/>
      <c r="AD2136"/>
      <c r="AE2136"/>
      <c r="AF2136"/>
      <c r="AG2136"/>
      <c r="AH2136"/>
      <c r="AI2136"/>
      <c r="AJ2136"/>
      <c r="AK2136"/>
      <c r="AL2136"/>
      <c r="AM2136"/>
      <c r="AN2136"/>
      <c r="AO2136"/>
      <c r="AP2136"/>
      <c r="AQ2136"/>
      <c r="AR2136"/>
      <c r="AS2136"/>
      <c r="AT2136"/>
      <c r="AU2136"/>
    </row>
    <row r="2137" spans="1:47" ht="18" customHeight="1" x14ac:dyDescent="0.35">
      <c r="A2137">
        <f>MATCH(B2137,STUDIES!$A$3:$A$502,0)</f>
        <v>89</v>
      </c>
      <c r="B2137" t="s">
        <v>1754</v>
      </c>
      <c r="C2137" s="456"/>
      <c r="D2137" t="s">
        <v>148</v>
      </c>
      <c r="E2137" t="s">
        <v>1258</v>
      </c>
      <c r="F2137" s="456" t="str">
        <f>_xlfn.XLOOKUP(B2137,STUDIES!$A$3:$A$1063,STUDIES!$G$3:$G$1063,"Not Found!")</f>
        <v>C</v>
      </c>
      <c r="G2137" s="456" t="s">
        <v>147</v>
      </c>
      <c r="H2137">
        <v>16</v>
      </c>
      <c r="I2137">
        <v>44</v>
      </c>
      <c r="J2137">
        <v>23</v>
      </c>
      <c r="K2137"/>
      <c r="L2137"/>
      <c r="M2137"/>
      <c r="N2137"/>
      <c r="O2137"/>
      <c r="P2137"/>
      <c r="Q2137"/>
      <c r="R2137"/>
      <c r="S2137"/>
      <c r="T2137"/>
      <c r="U2137"/>
      <c r="V2137"/>
      <c r="W2137"/>
      <c r="X2137"/>
      <c r="Y2137"/>
      <c r="Z2137"/>
      <c r="AA2137"/>
      <c r="AB2137"/>
      <c r="AC2137"/>
      <c r="AD2137"/>
      <c r="AE2137"/>
      <c r="AF2137"/>
      <c r="AG2137"/>
      <c r="AH2137"/>
      <c r="AI2137"/>
      <c r="AJ2137"/>
      <c r="AK2137"/>
      <c r="AL2137"/>
      <c r="AM2137"/>
      <c r="AN2137"/>
      <c r="AO2137"/>
      <c r="AP2137"/>
      <c r="AQ2137"/>
      <c r="AR2137"/>
      <c r="AS2137"/>
      <c r="AT2137"/>
      <c r="AU2137"/>
    </row>
    <row r="2138" spans="1:47" ht="18" customHeight="1" x14ac:dyDescent="0.35">
      <c r="A2138">
        <f>MATCH(B2138,STUDIES!$A$3:$A$502,0)</f>
        <v>89</v>
      </c>
      <c r="B2138" t="s">
        <v>1754</v>
      </c>
      <c r="C2138" s="456"/>
      <c r="D2138" t="s">
        <v>1762</v>
      </c>
      <c r="E2138" t="s">
        <v>1243</v>
      </c>
      <c r="F2138" s="456" t="str">
        <f>_xlfn.XLOOKUP(B2138,STUDIES!$A$3:$A$1063,STUDIES!$G$3:$G$1063,"Not Found!")</f>
        <v>C</v>
      </c>
      <c r="G2138" s="456" t="s">
        <v>147</v>
      </c>
      <c r="H2138">
        <v>16</v>
      </c>
      <c r="I2138">
        <v>45</v>
      </c>
      <c r="J2138">
        <v>14</v>
      </c>
      <c r="K2138"/>
      <c r="L2138"/>
      <c r="M2138"/>
      <c r="N2138"/>
      <c r="O2138"/>
      <c r="P2138"/>
      <c r="Q2138"/>
      <c r="R2138"/>
      <c r="S2138"/>
      <c r="T2138"/>
      <c r="U2138"/>
      <c r="V2138"/>
      <c r="W2138"/>
      <c r="X2138"/>
      <c r="Y2138"/>
      <c r="Z2138"/>
      <c r="AA2138"/>
      <c r="AB2138"/>
      <c r="AC2138"/>
      <c r="AD2138"/>
      <c r="AE2138"/>
      <c r="AF2138"/>
      <c r="AG2138"/>
      <c r="AH2138"/>
      <c r="AI2138"/>
      <c r="AJ2138"/>
      <c r="AK2138"/>
      <c r="AL2138"/>
      <c r="AM2138"/>
      <c r="AN2138"/>
      <c r="AO2138"/>
      <c r="AP2138"/>
      <c r="AQ2138"/>
      <c r="AR2138"/>
      <c r="AS2138"/>
      <c r="AT2138"/>
      <c r="AU2138"/>
    </row>
    <row r="2139" spans="1:47" ht="18" customHeight="1" x14ac:dyDescent="0.35">
      <c r="A2139">
        <f>MATCH(B2139,STUDIES!$A$3:$A$502,0)</f>
        <v>89</v>
      </c>
      <c r="B2139" t="s">
        <v>1754</v>
      </c>
      <c r="C2139" s="456"/>
      <c r="D2139" t="s">
        <v>148</v>
      </c>
      <c r="E2139" t="s">
        <v>1243</v>
      </c>
      <c r="F2139" s="456" t="str">
        <f>_xlfn.XLOOKUP(B2139,STUDIES!$A$3:$A$1063,STUDIES!$G$3:$G$1063,"Not Found!")</f>
        <v>C</v>
      </c>
      <c r="G2139" s="456" t="s">
        <v>147</v>
      </c>
      <c r="H2139">
        <v>16</v>
      </c>
      <c r="I2139">
        <v>44</v>
      </c>
      <c r="J2139">
        <v>9</v>
      </c>
      <c r="K2139"/>
      <c r="L2139"/>
      <c r="M2139"/>
      <c r="N2139"/>
      <c r="O2139"/>
      <c r="P2139"/>
      <c r="Q2139"/>
      <c r="R2139"/>
      <c r="S2139"/>
      <c r="T2139"/>
      <c r="U2139"/>
      <c r="V2139"/>
      <c r="W2139"/>
      <c r="X2139"/>
      <c r="Y2139"/>
      <c r="Z2139"/>
      <c r="AA2139"/>
      <c r="AB2139"/>
      <c r="AC2139"/>
      <c r="AD2139"/>
      <c r="AE2139"/>
      <c r="AF2139"/>
      <c r="AG2139"/>
      <c r="AH2139"/>
      <c r="AI2139"/>
      <c r="AJ2139"/>
      <c r="AK2139"/>
      <c r="AL2139"/>
      <c r="AM2139"/>
      <c r="AN2139"/>
      <c r="AO2139"/>
      <c r="AP2139"/>
      <c r="AQ2139"/>
      <c r="AR2139"/>
      <c r="AS2139"/>
      <c r="AT2139"/>
      <c r="AU2139"/>
    </row>
    <row r="2140" spans="1:47" ht="18" customHeight="1" x14ac:dyDescent="0.35">
      <c r="A2140">
        <f>MATCH(B2140,STUDIES!$A$3:$A$502,0)</f>
        <v>89</v>
      </c>
      <c r="B2140" t="s">
        <v>1754</v>
      </c>
      <c r="C2140" s="456"/>
      <c r="D2140" t="s">
        <v>1762</v>
      </c>
      <c r="E2140" t="s">
        <v>1244</v>
      </c>
      <c r="F2140" s="456" t="str">
        <f>_xlfn.XLOOKUP(B2140,STUDIES!$A$3:$A$1063,STUDIES!$G$3:$G$1063,"Not Found!")</f>
        <v>C</v>
      </c>
      <c r="G2140" s="456" t="s">
        <v>147</v>
      </c>
      <c r="H2140">
        <v>16</v>
      </c>
      <c r="I2140">
        <v>45</v>
      </c>
      <c r="J2140">
        <v>4</v>
      </c>
      <c r="K2140"/>
      <c r="L2140"/>
      <c r="M2140"/>
      <c r="N2140"/>
      <c r="O2140"/>
      <c r="P2140"/>
      <c r="Q2140"/>
      <c r="R2140"/>
      <c r="S2140"/>
      <c r="T2140"/>
      <c r="U2140"/>
      <c r="V2140"/>
      <c r="W2140"/>
      <c r="X2140"/>
      <c r="Y2140"/>
      <c r="Z2140"/>
      <c r="AA2140"/>
      <c r="AB2140"/>
      <c r="AC2140"/>
      <c r="AD2140"/>
      <c r="AE2140"/>
      <c r="AF2140"/>
      <c r="AG2140"/>
      <c r="AH2140"/>
      <c r="AI2140"/>
      <c r="AJ2140"/>
      <c r="AK2140"/>
      <c r="AL2140"/>
      <c r="AM2140"/>
      <c r="AN2140"/>
      <c r="AO2140"/>
      <c r="AP2140"/>
      <c r="AQ2140"/>
      <c r="AR2140"/>
      <c r="AS2140"/>
      <c r="AT2140"/>
      <c r="AU2140"/>
    </row>
    <row r="2141" spans="1:47" ht="18" customHeight="1" x14ac:dyDescent="0.35">
      <c r="A2141">
        <f>MATCH(B2141,STUDIES!$A$3:$A$502,0)</f>
        <v>89</v>
      </c>
      <c r="B2141" t="s">
        <v>1754</v>
      </c>
      <c r="C2141" s="456"/>
      <c r="D2141" t="s">
        <v>148</v>
      </c>
      <c r="E2141" t="s">
        <v>1244</v>
      </c>
      <c r="F2141" s="456" t="str">
        <f>_xlfn.XLOOKUP(B2141,STUDIES!$A$3:$A$1063,STUDIES!$G$3:$G$1063,"Not Found!")</f>
        <v>C</v>
      </c>
      <c r="G2141" s="456" t="s">
        <v>147</v>
      </c>
      <c r="H2141">
        <v>16</v>
      </c>
      <c r="I2141">
        <v>44</v>
      </c>
      <c r="J2141">
        <v>4</v>
      </c>
      <c r="K2141"/>
      <c r="L2141"/>
      <c r="M2141"/>
      <c r="N2141"/>
      <c r="O2141"/>
      <c r="P2141"/>
      <c r="Q2141"/>
      <c r="R2141"/>
      <c r="S2141"/>
      <c r="T2141"/>
      <c r="U2141"/>
      <c r="V2141"/>
      <c r="W2141"/>
      <c r="X2141"/>
      <c r="Y2141"/>
      <c r="Z2141"/>
      <c r="AA2141"/>
      <c r="AB2141"/>
      <c r="AC2141"/>
      <c r="AD2141"/>
      <c r="AE2141"/>
      <c r="AF2141"/>
      <c r="AG2141"/>
      <c r="AH2141"/>
      <c r="AI2141"/>
      <c r="AJ2141"/>
      <c r="AK2141"/>
      <c r="AL2141"/>
      <c r="AM2141"/>
      <c r="AN2141"/>
      <c r="AO2141"/>
      <c r="AP2141"/>
      <c r="AQ2141"/>
      <c r="AR2141"/>
      <c r="AS2141"/>
      <c r="AT2141"/>
      <c r="AU2141"/>
    </row>
    <row r="2142" spans="1:47" ht="18" customHeight="1" x14ac:dyDescent="0.35">
      <c r="A2142">
        <f>MATCH(B2142,STUDIES!$A$3:$A$502,0)</f>
        <v>89</v>
      </c>
      <c r="B2142" t="s">
        <v>1754</v>
      </c>
      <c r="C2142" s="456"/>
      <c r="D2142" t="s">
        <v>1762</v>
      </c>
      <c r="E2142" t="s">
        <v>1268</v>
      </c>
      <c r="F2142" s="456" t="str">
        <f>_xlfn.XLOOKUP(B2142,STUDIES!$A$3:$A$1063,STUDIES!$G$3:$G$1063,"Not Found!")</f>
        <v>C</v>
      </c>
      <c r="G2142" s="456" t="s">
        <v>147</v>
      </c>
      <c r="H2142">
        <v>16</v>
      </c>
      <c r="I2142">
        <v>45</v>
      </c>
      <c r="J2142">
        <v>8</v>
      </c>
      <c r="K2142"/>
      <c r="L2142"/>
      <c r="M2142"/>
      <c r="N2142"/>
      <c r="O2142"/>
      <c r="P2142"/>
      <c r="Q2142"/>
      <c r="R2142"/>
      <c r="S2142"/>
      <c r="T2142"/>
      <c r="U2142"/>
      <c r="V2142"/>
      <c r="W2142"/>
      <c r="X2142"/>
      <c r="Y2142"/>
      <c r="Z2142"/>
      <c r="AA2142"/>
      <c r="AB2142"/>
      <c r="AC2142"/>
      <c r="AD2142"/>
      <c r="AE2142"/>
      <c r="AF2142"/>
      <c r="AG2142"/>
      <c r="AH2142"/>
      <c r="AI2142"/>
      <c r="AJ2142"/>
      <c r="AK2142"/>
      <c r="AL2142"/>
      <c r="AM2142"/>
      <c r="AN2142"/>
      <c r="AO2142"/>
      <c r="AP2142"/>
      <c r="AQ2142"/>
      <c r="AR2142"/>
      <c r="AS2142"/>
      <c r="AT2142"/>
      <c r="AU2142"/>
    </row>
    <row r="2143" spans="1:47" ht="18" customHeight="1" x14ac:dyDescent="0.35">
      <c r="A2143">
        <f>MATCH(B2143,STUDIES!$A$3:$A$502,0)</f>
        <v>89</v>
      </c>
      <c r="B2143" t="s">
        <v>1754</v>
      </c>
      <c r="C2143" s="456"/>
      <c r="D2143" t="s">
        <v>148</v>
      </c>
      <c r="E2143" t="s">
        <v>1268</v>
      </c>
      <c r="F2143" s="456" t="str">
        <f>_xlfn.XLOOKUP(B2143,STUDIES!$A$3:$A$1063,STUDIES!$G$3:$G$1063,"Not Found!")</f>
        <v>C</v>
      </c>
      <c r="G2143" s="456" t="s">
        <v>147</v>
      </c>
      <c r="H2143">
        <v>16</v>
      </c>
      <c r="I2143">
        <v>44</v>
      </c>
      <c r="J2143">
        <v>4</v>
      </c>
      <c r="K2143"/>
      <c r="L2143"/>
      <c r="M2143"/>
      <c r="N2143"/>
      <c r="O2143"/>
      <c r="P2143"/>
      <c r="Q2143"/>
      <c r="R2143"/>
      <c r="S2143"/>
      <c r="T2143"/>
      <c r="U2143"/>
      <c r="V2143"/>
      <c r="W2143"/>
      <c r="X2143"/>
      <c r="Y2143"/>
      <c r="Z2143"/>
      <c r="AA2143"/>
      <c r="AB2143"/>
      <c r="AC2143"/>
      <c r="AD2143"/>
      <c r="AE2143"/>
      <c r="AF2143"/>
      <c r="AG2143"/>
      <c r="AH2143"/>
      <c r="AI2143"/>
      <c r="AJ2143"/>
      <c r="AK2143"/>
      <c r="AL2143"/>
      <c r="AM2143"/>
      <c r="AN2143"/>
      <c r="AO2143"/>
      <c r="AP2143"/>
      <c r="AQ2143"/>
      <c r="AR2143"/>
      <c r="AS2143"/>
      <c r="AT2143"/>
      <c r="AU2143"/>
    </row>
    <row r="2144" spans="1:47" ht="18" customHeight="1" x14ac:dyDescent="0.35">
      <c r="A2144">
        <f>MATCH(B2144,STUDIES!$A$3:$A$502,0)</f>
        <v>89</v>
      </c>
      <c r="B2144" t="s">
        <v>1754</v>
      </c>
      <c r="C2144" s="456"/>
      <c r="D2144" t="s">
        <v>1762</v>
      </c>
      <c r="E2144" t="s">
        <v>1163</v>
      </c>
      <c r="F2144" s="456" t="str">
        <f>_xlfn.XLOOKUP(B2144,STUDIES!$A$3:$A$1063,STUDIES!$G$3:$G$1063,"Not Found!")</f>
        <v>C</v>
      </c>
      <c r="G2144" s="456" t="s">
        <v>147</v>
      </c>
      <c r="H2144">
        <v>16</v>
      </c>
      <c r="I2144">
        <v>46</v>
      </c>
      <c r="J2144">
        <v>2</v>
      </c>
      <c r="K2144"/>
      <c r="L2144"/>
      <c r="M2144"/>
      <c r="N2144"/>
      <c r="O2144"/>
      <c r="P2144"/>
      <c r="Q2144"/>
      <c r="R2144"/>
      <c r="S2144"/>
      <c r="T2144"/>
      <c r="U2144"/>
      <c r="V2144"/>
      <c r="W2144"/>
      <c r="X2144"/>
      <c r="Y2144"/>
      <c r="Z2144"/>
      <c r="AA2144"/>
      <c r="AB2144"/>
      <c r="AC2144"/>
      <c r="AD2144"/>
      <c r="AE2144"/>
      <c r="AF2144"/>
      <c r="AG2144"/>
      <c r="AH2144"/>
      <c r="AI2144"/>
      <c r="AJ2144"/>
      <c r="AK2144"/>
      <c r="AL2144"/>
      <c r="AM2144"/>
      <c r="AN2144"/>
      <c r="AO2144"/>
      <c r="AP2144"/>
      <c r="AQ2144"/>
      <c r="AR2144"/>
      <c r="AS2144"/>
      <c r="AT2144"/>
      <c r="AU2144"/>
    </row>
    <row r="2145" spans="1:47" ht="18" customHeight="1" x14ac:dyDescent="0.35">
      <c r="A2145">
        <f>MATCH(B2145,STUDIES!$A$3:$A$502,0)</f>
        <v>89</v>
      </c>
      <c r="B2145" t="s">
        <v>1754</v>
      </c>
      <c r="C2145" s="456"/>
      <c r="D2145" t="s">
        <v>148</v>
      </c>
      <c r="E2145" t="s">
        <v>1163</v>
      </c>
      <c r="F2145" s="456" t="str">
        <f>_xlfn.XLOOKUP(B2145,STUDIES!$A$3:$A$1063,STUDIES!$G$3:$G$1063,"Not Found!")</f>
        <v>C</v>
      </c>
      <c r="G2145" s="456" t="s">
        <v>147</v>
      </c>
      <c r="H2145">
        <v>16</v>
      </c>
      <c r="I2145">
        <v>43</v>
      </c>
      <c r="J2145">
        <v>0</v>
      </c>
      <c r="K2145"/>
      <c r="L2145"/>
      <c r="M2145"/>
      <c r="N2145"/>
      <c r="O2145"/>
      <c r="P2145"/>
      <c r="Q2145"/>
      <c r="R2145"/>
      <c r="S2145"/>
      <c r="T2145"/>
      <c r="U2145"/>
      <c r="V2145"/>
      <c r="W2145"/>
      <c r="X2145"/>
      <c r="Y2145"/>
      <c r="Z2145"/>
      <c r="AA2145"/>
      <c r="AB2145"/>
      <c r="AC2145"/>
      <c r="AD2145"/>
      <c r="AE2145"/>
      <c r="AF2145"/>
      <c r="AG2145"/>
      <c r="AH2145"/>
      <c r="AI2145"/>
      <c r="AJ2145"/>
      <c r="AK2145"/>
      <c r="AL2145"/>
      <c r="AM2145"/>
      <c r="AN2145"/>
      <c r="AO2145"/>
      <c r="AP2145"/>
      <c r="AQ2145"/>
      <c r="AR2145"/>
      <c r="AS2145"/>
      <c r="AT2145"/>
      <c r="AU2145"/>
    </row>
    <row r="2146" spans="1:47" ht="18" customHeight="1" x14ac:dyDescent="0.35">
      <c r="A2146">
        <f>MATCH(B2146,STUDIES!$A$3:$A$502,0)</f>
        <v>89</v>
      </c>
      <c r="B2146" t="s">
        <v>1754</v>
      </c>
      <c r="C2146" s="456"/>
      <c r="D2146" t="s">
        <v>1762</v>
      </c>
      <c r="E2146" t="s">
        <v>1167</v>
      </c>
      <c r="F2146" s="456" t="str">
        <f>_xlfn.XLOOKUP(B2146,STUDIES!$A$3:$A$1063,STUDIES!$G$3:$G$1063,"Not Found!")</f>
        <v>C</v>
      </c>
      <c r="G2146" s="456" t="s">
        <v>147</v>
      </c>
      <c r="H2146">
        <v>16</v>
      </c>
      <c r="I2146">
        <v>45</v>
      </c>
      <c r="J2146">
        <v>0</v>
      </c>
      <c r="K2146"/>
      <c r="L2146"/>
      <c r="M2146"/>
      <c r="N2146"/>
      <c r="O2146"/>
      <c r="P2146"/>
      <c r="Q2146"/>
      <c r="R2146"/>
      <c r="S2146"/>
      <c r="T2146"/>
      <c r="U2146"/>
      <c r="V2146"/>
      <c r="W2146"/>
      <c r="X2146"/>
      <c r="Y2146"/>
      <c r="Z2146"/>
      <c r="AA2146"/>
      <c r="AB2146"/>
      <c r="AC2146"/>
      <c r="AD2146"/>
      <c r="AE2146"/>
      <c r="AF2146"/>
      <c r="AG2146"/>
      <c r="AH2146"/>
      <c r="AI2146"/>
      <c r="AJ2146"/>
      <c r="AK2146"/>
      <c r="AL2146"/>
      <c r="AM2146"/>
      <c r="AN2146"/>
      <c r="AO2146"/>
      <c r="AP2146"/>
      <c r="AQ2146"/>
      <c r="AR2146"/>
      <c r="AS2146"/>
      <c r="AT2146"/>
      <c r="AU2146"/>
    </row>
    <row r="2147" spans="1:47" ht="18" customHeight="1" x14ac:dyDescent="0.35">
      <c r="A2147">
        <f>MATCH(B2147,STUDIES!$A$3:$A$502,0)</f>
        <v>89</v>
      </c>
      <c r="B2147" t="s">
        <v>1754</v>
      </c>
      <c r="C2147" s="456"/>
      <c r="D2147" t="s">
        <v>148</v>
      </c>
      <c r="E2147" t="s">
        <v>1167</v>
      </c>
      <c r="F2147" s="456" t="str">
        <f>_xlfn.XLOOKUP(B2147,STUDIES!$A$3:$A$1063,STUDIES!$G$3:$G$1063,"Not Found!")</f>
        <v>C</v>
      </c>
      <c r="G2147" s="456" t="s">
        <v>147</v>
      </c>
      <c r="H2147">
        <v>16</v>
      </c>
      <c r="I2147">
        <v>44</v>
      </c>
      <c r="J2147">
        <v>0</v>
      </c>
      <c r="K2147"/>
      <c r="L2147"/>
      <c r="M2147"/>
      <c r="N2147"/>
      <c r="O2147"/>
      <c r="P2147"/>
      <c r="Q2147"/>
      <c r="R2147"/>
      <c r="S2147"/>
      <c r="T2147"/>
      <c r="U2147"/>
      <c r="V2147"/>
      <c r="W2147"/>
      <c r="X2147"/>
      <c r="Y2147"/>
      <c r="Z2147"/>
      <c r="AA2147"/>
      <c r="AB2147"/>
      <c r="AC2147"/>
      <c r="AD2147"/>
      <c r="AE2147"/>
      <c r="AF2147"/>
      <c r="AG2147"/>
      <c r="AH2147"/>
      <c r="AI2147"/>
      <c r="AJ2147"/>
      <c r="AK2147"/>
      <c r="AL2147"/>
      <c r="AM2147"/>
      <c r="AN2147"/>
      <c r="AO2147"/>
      <c r="AP2147"/>
      <c r="AQ2147"/>
      <c r="AR2147"/>
      <c r="AS2147"/>
      <c r="AT2147"/>
      <c r="AU2147"/>
    </row>
    <row r="2148" spans="1:47" ht="18" customHeight="1" x14ac:dyDescent="0.35">
      <c r="A2148">
        <f>MATCH(B2148,STUDIES!$A$3:$A$502,0)</f>
        <v>90</v>
      </c>
      <c r="B2148" t="s">
        <v>2195</v>
      </c>
      <c r="C2148" s="456"/>
      <c r="D2148" t="s">
        <v>148</v>
      </c>
      <c r="E2148" t="s">
        <v>1268</v>
      </c>
      <c r="F2148" s="456" t="str">
        <f>_xlfn.XLOOKUP(B2148,STUDIES!$A$3:$A$1063,STUDIES!$G$3:$G$1063,"Not Found!")</f>
        <v>A</v>
      </c>
      <c r="G2148" s="456" t="s">
        <v>147</v>
      </c>
      <c r="H2148">
        <v>16</v>
      </c>
      <c r="I2148">
        <v>122</v>
      </c>
      <c r="J2148">
        <f>122*0.189</f>
        <v>23.058</v>
      </c>
      <c r="K2148"/>
      <c r="L2148"/>
      <c r="M2148"/>
      <c r="N2148"/>
      <c r="O2148"/>
      <c r="P2148"/>
      <c r="Q2148"/>
      <c r="R2148"/>
      <c r="S2148"/>
      <c r="T2148"/>
      <c r="U2148"/>
      <c r="V2148"/>
      <c r="W2148"/>
      <c r="X2148"/>
      <c r="Y2148"/>
      <c r="Z2148"/>
      <c r="AA2148"/>
      <c r="AB2148"/>
      <c r="AC2148"/>
      <c r="AD2148"/>
      <c r="AE2148"/>
      <c r="AF2148"/>
      <c r="AG2148"/>
      <c r="AH2148"/>
      <c r="AI2148"/>
      <c r="AJ2148"/>
      <c r="AK2148"/>
      <c r="AL2148"/>
      <c r="AM2148"/>
      <c r="AN2148"/>
      <c r="AO2148"/>
      <c r="AP2148"/>
      <c r="AQ2148"/>
      <c r="AR2148"/>
      <c r="AS2148"/>
      <c r="AT2148"/>
      <c r="AU2148"/>
    </row>
    <row r="2149" spans="1:47" ht="18" customHeight="1" x14ac:dyDescent="0.35">
      <c r="A2149">
        <f>MATCH(B2149,STUDIES!$A$3:$A$502,0)</f>
        <v>90</v>
      </c>
      <c r="B2149" t="s">
        <v>2195</v>
      </c>
      <c r="C2149" s="456"/>
      <c r="D2149" t="s">
        <v>1073</v>
      </c>
      <c r="E2149" t="s">
        <v>1268</v>
      </c>
      <c r="F2149" s="456" t="str">
        <f>_xlfn.XLOOKUP(B2149,STUDIES!$A$3:$A$1063,STUDIES!$G$3:$G$1063,"Not Found!")</f>
        <v>A</v>
      </c>
      <c r="G2149" s="456" t="s">
        <v>147</v>
      </c>
      <c r="H2149">
        <v>16</v>
      </c>
      <c r="I2149">
        <v>125</v>
      </c>
      <c r="J2149">
        <f>125*0.406</f>
        <v>50.75</v>
      </c>
      <c r="K2149"/>
      <c r="L2149"/>
      <c r="M2149"/>
      <c r="N2149"/>
      <c r="O2149"/>
      <c r="P2149"/>
      <c r="Q2149"/>
      <c r="R2149"/>
      <c r="S2149"/>
      <c r="T2149"/>
      <c r="U2149"/>
      <c r="V2149"/>
      <c r="W2149"/>
      <c r="X2149"/>
      <c r="Y2149"/>
      <c r="Z2149"/>
      <c r="AA2149"/>
      <c r="AB2149"/>
      <c r="AC2149"/>
      <c r="AD2149"/>
      <c r="AE2149"/>
      <c r="AF2149"/>
      <c r="AG2149"/>
      <c r="AH2149"/>
      <c r="AI2149"/>
      <c r="AJ2149"/>
      <c r="AK2149"/>
      <c r="AL2149"/>
      <c r="AM2149"/>
      <c r="AN2149"/>
      <c r="AO2149"/>
      <c r="AP2149"/>
      <c r="AQ2149"/>
      <c r="AR2149"/>
      <c r="AS2149"/>
      <c r="AT2149"/>
      <c r="AU2149"/>
    </row>
    <row r="2150" spans="1:47" ht="18" customHeight="1" x14ac:dyDescent="0.35">
      <c r="A2150">
        <f>MATCH(B2150,STUDIES!$A$3:$A$502,0)</f>
        <v>90</v>
      </c>
      <c r="B2150" t="s">
        <v>2195</v>
      </c>
      <c r="C2150" s="456"/>
      <c r="D2150" t="s">
        <v>148</v>
      </c>
      <c r="E2150" t="s">
        <v>1243</v>
      </c>
      <c r="F2150" s="456" t="str">
        <f>_xlfn.XLOOKUP(B2150,STUDIES!$A$3:$A$1063,STUDIES!$G$3:$G$1063,"Not Found!")</f>
        <v>A</v>
      </c>
      <c r="G2150" s="456" t="s">
        <v>147</v>
      </c>
      <c r="H2150">
        <v>16</v>
      </c>
      <c r="I2150">
        <v>122</v>
      </c>
      <c r="J2150">
        <f>0.327*122</f>
        <v>39.893999999999998</v>
      </c>
      <c r="K2150"/>
      <c r="L2150"/>
      <c r="M2150"/>
      <c r="N2150"/>
      <c r="O2150"/>
      <c r="P2150"/>
      <c r="Q2150"/>
      <c r="R2150"/>
      <c r="S2150"/>
      <c r="T2150"/>
      <c r="U2150"/>
      <c r="V2150"/>
      <c r="W2150"/>
      <c r="X2150"/>
      <c r="Y2150"/>
      <c r="Z2150"/>
      <c r="AA2150"/>
      <c r="AB2150"/>
      <c r="AC2150"/>
      <c r="AD2150"/>
      <c r="AE2150"/>
      <c r="AF2150"/>
      <c r="AG2150"/>
      <c r="AH2150"/>
      <c r="AI2150"/>
      <c r="AJ2150"/>
      <c r="AK2150"/>
      <c r="AL2150"/>
      <c r="AM2150"/>
      <c r="AN2150"/>
      <c r="AO2150"/>
      <c r="AP2150"/>
      <c r="AQ2150"/>
      <c r="AR2150"/>
      <c r="AS2150"/>
      <c r="AT2150"/>
      <c r="AU2150"/>
    </row>
    <row r="2151" spans="1:47" ht="18" customHeight="1" x14ac:dyDescent="0.35">
      <c r="A2151">
        <f>MATCH(B2151,STUDIES!$A$3:$A$502,0)</f>
        <v>90</v>
      </c>
      <c r="B2151" t="s">
        <v>2195</v>
      </c>
      <c r="C2151" s="456"/>
      <c r="D2151" t="s">
        <v>1073</v>
      </c>
      <c r="E2151" t="s">
        <v>1243</v>
      </c>
      <c r="F2151" s="456" t="str">
        <f>_xlfn.XLOOKUP(B2151,STUDIES!$A$3:$A$1063,STUDIES!$G$3:$G$1063,"Not Found!")</f>
        <v>A</v>
      </c>
      <c r="G2151" s="456" t="s">
        <v>147</v>
      </c>
      <c r="H2151">
        <v>16</v>
      </c>
      <c r="I2151">
        <v>125</v>
      </c>
      <c r="J2151">
        <f>0.58*125</f>
        <v>72.5</v>
      </c>
      <c r="K2151"/>
      <c r="L2151"/>
      <c r="M2151"/>
      <c r="N2151"/>
      <c r="O2151"/>
      <c r="P2151"/>
      <c r="Q2151"/>
      <c r="R2151"/>
      <c r="S2151"/>
      <c r="T2151"/>
      <c r="U2151"/>
      <c r="V2151"/>
      <c r="W2151"/>
      <c r="X2151"/>
      <c r="Y2151"/>
      <c r="Z2151"/>
      <c r="AA2151"/>
      <c r="AB2151"/>
      <c r="AC2151"/>
      <c r="AD2151"/>
      <c r="AE2151"/>
      <c r="AF2151"/>
      <c r="AG2151"/>
      <c r="AH2151"/>
      <c r="AI2151"/>
      <c r="AJ2151"/>
      <c r="AK2151"/>
      <c r="AL2151"/>
      <c r="AM2151"/>
      <c r="AN2151"/>
      <c r="AO2151"/>
      <c r="AP2151"/>
      <c r="AQ2151"/>
      <c r="AR2151"/>
      <c r="AS2151"/>
      <c r="AT2151"/>
      <c r="AU2151"/>
    </row>
    <row r="2152" spans="1:47" ht="18" customHeight="1" x14ac:dyDescent="0.35">
      <c r="A2152">
        <f>MATCH(B2152,STUDIES!$A$3:$A$502,0)</f>
        <v>90</v>
      </c>
      <c r="B2152" t="s">
        <v>2195</v>
      </c>
      <c r="C2152" s="456"/>
      <c r="D2152" t="s">
        <v>148</v>
      </c>
      <c r="E2152" t="s">
        <v>1244</v>
      </c>
      <c r="F2152" s="456" t="str">
        <f>_xlfn.XLOOKUP(B2152,STUDIES!$A$3:$A$1063,STUDIES!$G$3:$G$1063,"Not Found!")</f>
        <v>A</v>
      </c>
      <c r="G2152" s="456" t="s">
        <v>147</v>
      </c>
      <c r="H2152">
        <v>16</v>
      </c>
      <c r="I2152">
        <v>122</v>
      </c>
      <c r="J2152">
        <f>0.189*122</f>
        <v>23.058</v>
      </c>
      <c r="K2152"/>
      <c r="L2152"/>
      <c r="M2152"/>
      <c r="N2152"/>
      <c r="O2152"/>
      <c r="P2152"/>
      <c r="Q2152"/>
      <c r="R2152"/>
      <c r="S2152"/>
      <c r="T2152"/>
      <c r="U2152"/>
      <c r="V2152"/>
      <c r="W2152"/>
      <c r="X2152"/>
      <c r="Y2152"/>
      <c r="Z2152"/>
      <c r="AA2152"/>
      <c r="AB2152"/>
      <c r="AC2152"/>
      <c r="AD2152"/>
      <c r="AE2152"/>
      <c r="AF2152"/>
      <c r="AG2152"/>
      <c r="AH2152"/>
      <c r="AI2152"/>
      <c r="AJ2152"/>
      <c r="AK2152"/>
      <c r="AL2152"/>
      <c r="AM2152"/>
      <c r="AN2152"/>
      <c r="AO2152"/>
      <c r="AP2152"/>
      <c r="AQ2152"/>
      <c r="AR2152"/>
      <c r="AS2152"/>
      <c r="AT2152"/>
      <c r="AU2152"/>
    </row>
    <row r="2153" spans="1:47" ht="18" customHeight="1" x14ac:dyDescent="0.35">
      <c r="A2153">
        <f>MATCH(B2153,STUDIES!$A$3:$A$502,0)</f>
        <v>90</v>
      </c>
      <c r="B2153" t="s">
        <v>2195</v>
      </c>
      <c r="C2153" s="456"/>
      <c r="D2153" t="s">
        <v>1073</v>
      </c>
      <c r="E2153" t="s">
        <v>1244</v>
      </c>
      <c r="F2153" s="456" t="str">
        <f>_xlfn.XLOOKUP(B2153,STUDIES!$A$3:$A$1063,STUDIES!$G$3:$G$1063,"Not Found!")</f>
        <v>A</v>
      </c>
      <c r="G2153" s="456" t="s">
        <v>147</v>
      </c>
      <c r="H2153">
        <v>16</v>
      </c>
      <c r="I2153">
        <v>125</v>
      </c>
      <c r="J2153">
        <f>0.392*125</f>
        <v>49</v>
      </c>
      <c r="K2153"/>
      <c r="L2153"/>
      <c r="M2153"/>
      <c r="N2153"/>
      <c r="O2153"/>
      <c r="P2153"/>
      <c r="Q2153"/>
      <c r="R2153"/>
      <c r="S2153"/>
      <c r="T2153"/>
      <c r="U2153"/>
      <c r="V2153"/>
      <c r="W2153"/>
      <c r="X2153"/>
      <c r="Y2153"/>
      <c r="Z2153"/>
      <c r="AA2153"/>
      <c r="AB2153"/>
      <c r="AC2153"/>
      <c r="AD2153"/>
      <c r="AE2153"/>
      <c r="AF2153"/>
      <c r="AG2153"/>
      <c r="AH2153"/>
      <c r="AI2153"/>
      <c r="AJ2153"/>
      <c r="AK2153"/>
      <c r="AL2153"/>
      <c r="AM2153"/>
      <c r="AN2153"/>
      <c r="AO2153"/>
      <c r="AP2153"/>
      <c r="AQ2153"/>
      <c r="AR2153"/>
      <c r="AS2153"/>
      <c r="AT2153"/>
      <c r="AU2153"/>
    </row>
    <row r="2154" spans="1:47" ht="18" customHeight="1" x14ac:dyDescent="0.35">
      <c r="A2154">
        <f>MATCH(B2154,STUDIES!$A$3:$A$502,0)</f>
        <v>90</v>
      </c>
      <c r="B2154" t="s">
        <v>2195</v>
      </c>
      <c r="C2154" s="456"/>
      <c r="D2154" t="s">
        <v>148</v>
      </c>
      <c r="E2154" t="s">
        <v>1163</v>
      </c>
      <c r="F2154" s="456" t="str">
        <f>_xlfn.XLOOKUP(B2154,STUDIES!$A$3:$A$1063,STUDIES!$G$3:$G$1063,"Not Found!")</f>
        <v>A</v>
      </c>
      <c r="G2154" s="456" t="s">
        <v>147</v>
      </c>
      <c r="H2154">
        <v>16</v>
      </c>
      <c r="I2154">
        <v>127</v>
      </c>
      <c r="J2154">
        <v>1</v>
      </c>
      <c r="K2154"/>
      <c r="L2154"/>
      <c r="M2154"/>
      <c r="N2154"/>
      <c r="O2154"/>
      <c r="P2154"/>
      <c r="Q2154"/>
      <c r="R2154"/>
      <c r="S2154"/>
      <c r="T2154"/>
      <c r="U2154"/>
      <c r="V2154"/>
      <c r="W2154"/>
      <c r="X2154"/>
      <c r="Y2154"/>
      <c r="Z2154"/>
      <c r="AA2154"/>
      <c r="AB2154"/>
      <c r="AC2154"/>
      <c r="AD2154"/>
      <c r="AE2154"/>
      <c r="AF2154"/>
      <c r="AG2154"/>
      <c r="AH2154"/>
      <c r="AI2154"/>
      <c r="AJ2154"/>
      <c r="AK2154"/>
      <c r="AL2154"/>
      <c r="AM2154"/>
      <c r="AN2154"/>
      <c r="AO2154"/>
      <c r="AP2154"/>
      <c r="AQ2154"/>
      <c r="AR2154"/>
      <c r="AS2154"/>
      <c r="AT2154"/>
      <c r="AU2154"/>
    </row>
    <row r="2155" spans="1:47" ht="18" customHeight="1" x14ac:dyDescent="0.35">
      <c r="A2155">
        <f>MATCH(B2155,STUDIES!$A$3:$A$502,0)</f>
        <v>90</v>
      </c>
      <c r="B2155" t="s">
        <v>2195</v>
      </c>
      <c r="C2155" s="456"/>
      <c r="D2155" t="s">
        <v>1073</v>
      </c>
      <c r="E2155" t="s">
        <v>1163</v>
      </c>
      <c r="F2155" s="456" t="str">
        <f>_xlfn.XLOOKUP(B2155,STUDIES!$A$3:$A$1063,STUDIES!$G$3:$G$1063,"Not Found!")</f>
        <v>A</v>
      </c>
      <c r="G2155" s="456" t="s">
        <v>147</v>
      </c>
      <c r="H2155">
        <v>16</v>
      </c>
      <c r="I2155">
        <v>127</v>
      </c>
      <c r="J2155">
        <v>1</v>
      </c>
      <c r="K2155"/>
      <c r="L2155"/>
      <c r="M2155"/>
      <c r="N2155"/>
      <c r="O2155"/>
      <c r="P2155"/>
      <c r="Q2155"/>
      <c r="R2155"/>
      <c r="S2155"/>
      <c r="T2155"/>
      <c r="U2155"/>
      <c r="V2155"/>
      <c r="W2155"/>
      <c r="X2155"/>
      <c r="Y2155"/>
      <c r="Z2155"/>
      <c r="AA2155"/>
      <c r="AB2155"/>
      <c r="AC2155"/>
      <c r="AD2155"/>
      <c r="AE2155"/>
      <c r="AF2155"/>
      <c r="AG2155"/>
      <c r="AH2155"/>
      <c r="AI2155"/>
      <c r="AJ2155"/>
      <c r="AK2155"/>
      <c r="AL2155"/>
      <c r="AM2155"/>
      <c r="AN2155"/>
      <c r="AO2155"/>
      <c r="AP2155"/>
      <c r="AQ2155"/>
      <c r="AR2155"/>
      <c r="AS2155"/>
      <c r="AT2155"/>
      <c r="AU2155"/>
    </row>
    <row r="2156" spans="1:47" ht="18" customHeight="1" x14ac:dyDescent="0.35">
      <c r="A2156">
        <f>MATCH(B2156,STUDIES!$A$3:$A$502,0)</f>
        <v>90</v>
      </c>
      <c r="B2156" t="s">
        <v>2195</v>
      </c>
      <c r="C2156" s="456"/>
      <c r="D2156" t="s">
        <v>148</v>
      </c>
      <c r="E2156" t="s">
        <v>1167</v>
      </c>
      <c r="F2156" s="456" t="str">
        <f>_xlfn.XLOOKUP(B2156,STUDIES!$A$3:$A$1063,STUDIES!$G$3:$G$1063,"Not Found!")</f>
        <v>A</v>
      </c>
      <c r="G2156" s="456" t="s">
        <v>147</v>
      </c>
      <c r="H2156">
        <v>16</v>
      </c>
      <c r="I2156">
        <v>127</v>
      </c>
      <c r="J2156">
        <v>5</v>
      </c>
      <c r="K2156"/>
      <c r="L2156"/>
      <c r="M2156"/>
      <c r="N2156"/>
      <c r="O2156"/>
      <c r="P2156"/>
      <c r="Q2156"/>
      <c r="R2156"/>
      <c r="S2156"/>
      <c r="T2156"/>
      <c r="U2156"/>
      <c r="V2156"/>
      <c r="W2156"/>
      <c r="X2156"/>
      <c r="Y2156"/>
      <c r="Z2156"/>
      <c r="AA2156"/>
      <c r="AB2156"/>
      <c r="AC2156"/>
      <c r="AD2156"/>
      <c r="AE2156"/>
      <c r="AF2156"/>
      <c r="AG2156"/>
      <c r="AH2156"/>
      <c r="AI2156"/>
      <c r="AJ2156"/>
      <c r="AK2156"/>
      <c r="AL2156"/>
      <c r="AM2156"/>
      <c r="AN2156"/>
      <c r="AO2156"/>
      <c r="AP2156"/>
      <c r="AQ2156"/>
      <c r="AR2156"/>
      <c r="AS2156"/>
      <c r="AT2156"/>
      <c r="AU2156"/>
    </row>
    <row r="2157" spans="1:47" ht="18" customHeight="1" x14ac:dyDescent="0.35">
      <c r="A2157">
        <f>MATCH(B2157,STUDIES!$A$3:$A$502,0)</f>
        <v>90</v>
      </c>
      <c r="B2157" t="s">
        <v>2195</v>
      </c>
      <c r="C2157" s="456"/>
      <c r="D2157" t="s">
        <v>1073</v>
      </c>
      <c r="E2157" t="s">
        <v>1167</v>
      </c>
      <c r="F2157" s="456" t="str">
        <f>_xlfn.XLOOKUP(B2157,STUDIES!$A$3:$A$1063,STUDIES!$G$3:$G$1063,"Not Found!")</f>
        <v>A</v>
      </c>
      <c r="G2157" s="456" t="s">
        <v>147</v>
      </c>
      <c r="H2157">
        <v>16</v>
      </c>
      <c r="I2157">
        <v>127</v>
      </c>
      <c r="J2157">
        <v>3</v>
      </c>
      <c r="K2157"/>
      <c r="L2157"/>
      <c r="M2157"/>
      <c r="N2157"/>
      <c r="O2157"/>
      <c r="P2157"/>
      <c r="Q2157"/>
      <c r="R2157"/>
      <c r="S2157"/>
      <c r="T2157"/>
      <c r="U2157"/>
      <c r="V2157"/>
      <c r="W2157"/>
      <c r="X2157"/>
      <c r="Y2157"/>
      <c r="Z2157"/>
      <c r="AA2157"/>
      <c r="AB2157"/>
      <c r="AC2157"/>
      <c r="AD2157"/>
      <c r="AE2157"/>
      <c r="AF2157"/>
      <c r="AG2157"/>
      <c r="AH2157"/>
      <c r="AI2157"/>
      <c r="AJ2157"/>
      <c r="AK2157"/>
      <c r="AL2157"/>
      <c r="AM2157"/>
      <c r="AN2157"/>
      <c r="AO2157"/>
      <c r="AP2157"/>
      <c r="AQ2157"/>
      <c r="AR2157"/>
      <c r="AS2157"/>
      <c r="AT2157"/>
      <c r="AU2157"/>
    </row>
    <row r="2158" spans="1:47" ht="18" customHeight="1" x14ac:dyDescent="0.35">
      <c r="A2158">
        <f>MATCH(B2158,STUDIES!$A$3:$A$502,0)</f>
        <v>91</v>
      </c>
      <c r="B2158" t="s">
        <v>2245</v>
      </c>
      <c r="C2158" s="456"/>
      <c r="D2158" t="s">
        <v>148</v>
      </c>
      <c r="E2158" t="s">
        <v>1268</v>
      </c>
      <c r="F2158" s="456" t="str">
        <f>_xlfn.XLOOKUP(B2158,STUDIES!$A$3:$A$1063,STUDIES!$G$3:$G$1063,"Not Found!")</f>
        <v>A</v>
      </c>
      <c r="G2158" s="456" t="s">
        <v>147</v>
      </c>
      <c r="H2158">
        <v>16</v>
      </c>
      <c r="I2158">
        <v>82</v>
      </c>
      <c r="J2158">
        <f>0.061*I2158</f>
        <v>5.0019999999999998</v>
      </c>
      <c r="K2158"/>
      <c r="L2158"/>
      <c r="M2158"/>
      <c r="N2158"/>
      <c r="O2158"/>
      <c r="P2158"/>
      <c r="Q2158"/>
      <c r="R2158"/>
      <c r="S2158"/>
      <c r="T2158"/>
      <c r="U2158"/>
      <c r="V2158"/>
      <c r="W2158"/>
      <c r="X2158"/>
      <c r="Y2158"/>
      <c r="Z2158"/>
      <c r="AA2158"/>
      <c r="AB2158"/>
      <c r="AC2158"/>
      <c r="AD2158"/>
      <c r="AE2158"/>
      <c r="AF2158"/>
      <c r="AG2158"/>
      <c r="AH2158"/>
      <c r="AI2158"/>
      <c r="AJ2158"/>
      <c r="AK2158"/>
      <c r="AL2158"/>
      <c r="AM2158"/>
      <c r="AN2158"/>
      <c r="AO2158"/>
      <c r="AP2158"/>
      <c r="AQ2158"/>
      <c r="AR2158"/>
      <c r="AS2158"/>
      <c r="AT2158"/>
      <c r="AU2158"/>
    </row>
    <row r="2159" spans="1:47" ht="18" customHeight="1" x14ac:dyDescent="0.35">
      <c r="A2159">
        <f>MATCH(B2159,STUDIES!$A$3:$A$502,0)</f>
        <v>91</v>
      </c>
      <c r="B2159" t="s">
        <v>2245</v>
      </c>
      <c r="C2159" s="456"/>
      <c r="D2159" t="s">
        <v>1073</v>
      </c>
      <c r="E2159" t="s">
        <v>1268</v>
      </c>
      <c r="F2159" s="456" t="str">
        <f>_xlfn.XLOOKUP(B2159,STUDIES!$A$3:$A$1063,STUDIES!$G$3:$G$1063,"Not Found!")</f>
        <v>A</v>
      </c>
      <c r="G2159" s="456" t="s">
        <v>147</v>
      </c>
      <c r="H2159">
        <v>16</v>
      </c>
      <c r="I2159">
        <v>123</v>
      </c>
      <c r="J2159">
        <f>0.334*I2159</f>
        <v>41.082000000000001</v>
      </c>
      <c r="K2159"/>
      <c r="L2159"/>
      <c r="M2159"/>
      <c r="N2159"/>
      <c r="O2159"/>
      <c r="P2159"/>
      <c r="Q2159"/>
      <c r="R2159"/>
      <c r="S2159"/>
      <c r="T2159"/>
      <c r="U2159"/>
      <c r="V2159"/>
      <c r="W2159"/>
      <c r="X2159"/>
      <c r="Y2159"/>
      <c r="Z2159"/>
      <c r="AA2159"/>
      <c r="AB2159"/>
      <c r="AC2159"/>
      <c r="AD2159"/>
      <c r="AE2159"/>
      <c r="AF2159"/>
      <c r="AG2159"/>
      <c r="AH2159"/>
      <c r="AI2159"/>
      <c r="AJ2159"/>
      <c r="AK2159"/>
      <c r="AL2159"/>
      <c r="AM2159"/>
      <c r="AN2159"/>
      <c r="AO2159"/>
      <c r="AP2159"/>
      <c r="AQ2159"/>
      <c r="AR2159"/>
      <c r="AS2159"/>
      <c r="AT2159"/>
      <c r="AU2159"/>
    </row>
    <row r="2160" spans="1:47" ht="18" customHeight="1" x14ac:dyDescent="0.35">
      <c r="A2160">
        <f>MATCH(B2160,STUDIES!$A$3:$A$502,0)</f>
        <v>91</v>
      </c>
      <c r="B2160" t="s">
        <v>2245</v>
      </c>
      <c r="C2160" s="456"/>
      <c r="D2160" t="s">
        <v>1072</v>
      </c>
      <c r="E2160" t="s">
        <v>1268</v>
      </c>
      <c r="F2160" s="456" t="str">
        <f>_xlfn.XLOOKUP(B2160,STUDIES!$A$3:$A$1063,STUDIES!$G$3:$G$1063,"Not Found!")</f>
        <v>A</v>
      </c>
      <c r="G2160" s="456" t="s">
        <v>147</v>
      </c>
      <c r="H2160">
        <v>16</v>
      </c>
      <c r="I2160">
        <v>81</v>
      </c>
      <c r="J2160">
        <f>0.291*I2160</f>
        <v>23.570999999999998</v>
      </c>
      <c r="K2160"/>
      <c r="L2160"/>
      <c r="M2160"/>
      <c r="N2160"/>
      <c r="O2160"/>
      <c r="P2160"/>
      <c r="Q2160"/>
      <c r="R2160"/>
      <c r="S2160"/>
      <c r="T2160"/>
      <c r="U2160"/>
      <c r="V2160"/>
      <c r="W2160"/>
      <c r="X2160"/>
      <c r="Y2160"/>
      <c r="Z2160"/>
      <c r="AA2160"/>
      <c r="AB2160"/>
      <c r="AC2160"/>
      <c r="AD2160"/>
      <c r="AE2160"/>
      <c r="AF2160"/>
      <c r="AG2160"/>
      <c r="AH2160"/>
      <c r="AI2160"/>
      <c r="AJ2160"/>
      <c r="AK2160"/>
      <c r="AL2160"/>
      <c r="AM2160"/>
      <c r="AN2160"/>
      <c r="AO2160"/>
      <c r="AP2160"/>
      <c r="AQ2160"/>
      <c r="AR2160"/>
      <c r="AS2160"/>
      <c r="AT2160"/>
      <c r="AU2160"/>
    </row>
    <row r="2161" spans="1:47" ht="18" customHeight="1" x14ac:dyDescent="0.35">
      <c r="A2161">
        <f>MATCH(B2161,STUDIES!$A$3:$A$502,0)</f>
        <v>91</v>
      </c>
      <c r="B2161" t="s">
        <v>2245</v>
      </c>
      <c r="C2161" s="456"/>
      <c r="D2161" t="s">
        <v>148</v>
      </c>
      <c r="E2161" t="s">
        <v>1243</v>
      </c>
      <c r="F2161" s="456" t="str">
        <f>_xlfn.XLOOKUP(B2161,STUDIES!$A$3:$A$1063,STUDIES!$G$3:$G$1063,"Not Found!")</f>
        <v>A</v>
      </c>
      <c r="G2161" s="456" t="s">
        <v>147</v>
      </c>
      <c r="H2161">
        <v>16</v>
      </c>
      <c r="I2161">
        <v>82</v>
      </c>
      <c r="J2161">
        <f>0.134*I2161</f>
        <v>10.988000000000001</v>
      </c>
      <c r="K2161"/>
      <c r="L2161"/>
      <c r="M2161"/>
      <c r="N2161"/>
      <c r="O2161"/>
      <c r="P2161"/>
      <c r="Q2161"/>
      <c r="R2161"/>
      <c r="S2161"/>
      <c r="T2161"/>
      <c r="U2161"/>
      <c r="V2161"/>
      <c r="W2161"/>
      <c r="X2161"/>
      <c r="Y2161"/>
      <c r="Z2161"/>
      <c r="AA2161"/>
      <c r="AB2161"/>
      <c r="AC2161"/>
      <c r="AD2161"/>
      <c r="AE2161"/>
      <c r="AF2161"/>
      <c r="AG2161"/>
      <c r="AH2161"/>
      <c r="AI2161"/>
      <c r="AJ2161"/>
      <c r="AK2161"/>
      <c r="AL2161"/>
      <c r="AM2161"/>
      <c r="AN2161"/>
      <c r="AO2161"/>
      <c r="AP2161"/>
      <c r="AQ2161"/>
      <c r="AR2161"/>
      <c r="AS2161"/>
      <c r="AT2161"/>
      <c r="AU2161"/>
    </row>
    <row r="2162" spans="1:47" ht="18" customHeight="1" x14ac:dyDescent="0.35">
      <c r="A2162">
        <f>MATCH(B2162,STUDIES!$A$3:$A$502,0)</f>
        <v>91</v>
      </c>
      <c r="B2162" t="s">
        <v>2245</v>
      </c>
      <c r="C2162" s="456"/>
      <c r="D2162" t="s">
        <v>1073</v>
      </c>
      <c r="E2162" t="s">
        <v>1243</v>
      </c>
      <c r="F2162" s="456" t="str">
        <f>_xlfn.XLOOKUP(B2162,STUDIES!$A$3:$A$1063,STUDIES!$G$3:$G$1063,"Not Found!")</f>
        <v>A</v>
      </c>
      <c r="G2162" s="456" t="s">
        <v>147</v>
      </c>
      <c r="H2162">
        <v>16</v>
      </c>
      <c r="I2162">
        <v>123</v>
      </c>
      <c r="J2162">
        <f>0.512*I2162</f>
        <v>62.975999999999999</v>
      </c>
      <c r="K2162"/>
      <c r="L2162"/>
      <c r="M2162"/>
      <c r="N2162"/>
      <c r="O2162"/>
      <c r="P2162"/>
      <c r="Q2162"/>
      <c r="R2162"/>
      <c r="S2162"/>
      <c r="T2162"/>
      <c r="U2162"/>
      <c r="V2162"/>
      <c r="W2162"/>
      <c r="X2162"/>
      <c r="Y2162"/>
      <c r="Z2162"/>
      <c r="AA2162"/>
      <c r="AB2162"/>
      <c r="AC2162"/>
      <c r="AD2162"/>
      <c r="AE2162"/>
      <c r="AF2162"/>
      <c r="AG2162"/>
      <c r="AH2162"/>
      <c r="AI2162"/>
      <c r="AJ2162"/>
      <c r="AK2162"/>
      <c r="AL2162"/>
      <c r="AM2162"/>
      <c r="AN2162"/>
      <c r="AO2162"/>
      <c r="AP2162"/>
      <c r="AQ2162"/>
      <c r="AR2162"/>
      <c r="AS2162"/>
      <c r="AT2162"/>
      <c r="AU2162"/>
    </row>
    <row r="2163" spans="1:47" ht="18" customHeight="1" x14ac:dyDescent="0.35">
      <c r="A2163">
        <f>MATCH(B2163,STUDIES!$A$3:$A$502,0)</f>
        <v>91</v>
      </c>
      <c r="B2163" t="s">
        <v>2245</v>
      </c>
      <c r="C2163" s="456"/>
      <c r="D2163" t="s">
        <v>1072</v>
      </c>
      <c r="E2163" t="s">
        <v>1243</v>
      </c>
      <c r="F2163" s="456" t="str">
        <f>_xlfn.XLOOKUP(B2163,STUDIES!$A$3:$A$1063,STUDIES!$G$3:$G$1063,"Not Found!")</f>
        <v>A</v>
      </c>
      <c r="G2163" s="456" t="s">
        <v>147</v>
      </c>
      <c r="H2163">
        <v>16</v>
      </c>
      <c r="I2163">
        <v>81</v>
      </c>
      <c r="J2163">
        <f>0.472*I2163</f>
        <v>38.231999999999999</v>
      </c>
      <c r="K2163"/>
      <c r="L2163"/>
      <c r="M2163"/>
      <c r="N2163"/>
      <c r="O2163"/>
      <c r="P2163"/>
      <c r="Q2163"/>
      <c r="R2163"/>
      <c r="S2163"/>
      <c r="T2163"/>
      <c r="U2163"/>
      <c r="V2163"/>
      <c r="W2163"/>
      <c r="X2163"/>
      <c r="Y2163"/>
      <c r="Z2163"/>
      <c r="AA2163"/>
      <c r="AB2163"/>
      <c r="AC2163"/>
      <c r="AD2163"/>
      <c r="AE2163"/>
      <c r="AF2163"/>
      <c r="AG2163"/>
      <c r="AH2163"/>
      <c r="AI2163"/>
      <c r="AJ2163"/>
      <c r="AK2163"/>
      <c r="AL2163"/>
      <c r="AM2163"/>
      <c r="AN2163"/>
      <c r="AO2163"/>
      <c r="AP2163"/>
      <c r="AQ2163"/>
      <c r="AR2163"/>
      <c r="AS2163"/>
      <c r="AT2163"/>
      <c r="AU2163"/>
    </row>
    <row r="2164" spans="1:47" ht="18" customHeight="1" x14ac:dyDescent="0.35">
      <c r="A2164">
        <f>MATCH(B2164,STUDIES!$A$3:$A$502,0)</f>
        <v>91</v>
      </c>
      <c r="B2164" t="s">
        <v>2245</v>
      </c>
      <c r="C2164" s="456"/>
      <c r="D2164" t="s">
        <v>148</v>
      </c>
      <c r="E2164" t="s">
        <v>1244</v>
      </c>
      <c r="F2164" s="456" t="str">
        <f>_xlfn.XLOOKUP(B2164,STUDIES!$A$3:$A$1063,STUDIES!$G$3:$G$1063,"Not Found!")</f>
        <v>A</v>
      </c>
      <c r="G2164" s="456" t="s">
        <v>147</v>
      </c>
      <c r="H2164">
        <v>16</v>
      </c>
      <c r="I2164">
        <v>82</v>
      </c>
      <c r="J2164">
        <f>0.098*82</f>
        <v>8.0359999999999996</v>
      </c>
      <c r="K2164"/>
      <c r="L2164"/>
      <c r="M2164"/>
      <c r="N2164"/>
      <c r="O2164"/>
      <c r="P2164"/>
      <c r="Q2164"/>
      <c r="R2164"/>
      <c r="S2164"/>
      <c r="T2164"/>
      <c r="U2164"/>
      <c r="V2164"/>
      <c r="W2164"/>
      <c r="X2164"/>
      <c r="Y2164"/>
      <c r="Z2164"/>
      <c r="AA2164"/>
      <c r="AB2164"/>
      <c r="AC2164"/>
      <c r="AD2164"/>
      <c r="AE2164"/>
      <c r="AF2164"/>
      <c r="AG2164"/>
      <c r="AH2164"/>
      <c r="AI2164"/>
      <c r="AJ2164"/>
      <c r="AK2164"/>
      <c r="AL2164"/>
      <c r="AM2164"/>
      <c r="AN2164"/>
      <c r="AO2164"/>
      <c r="AP2164"/>
      <c r="AQ2164"/>
      <c r="AR2164"/>
      <c r="AS2164"/>
      <c r="AT2164"/>
      <c r="AU2164"/>
    </row>
    <row r="2165" spans="1:47" ht="18" customHeight="1" x14ac:dyDescent="0.35">
      <c r="A2165">
        <f>MATCH(B2165,STUDIES!$A$3:$A$502,0)</f>
        <v>91</v>
      </c>
      <c r="B2165" t="s">
        <v>2245</v>
      </c>
      <c r="C2165" s="456"/>
      <c r="D2165" t="s">
        <v>1073</v>
      </c>
      <c r="E2165" t="s">
        <v>1244</v>
      </c>
      <c r="F2165" s="456" t="str">
        <f>_xlfn.XLOOKUP(B2165,STUDIES!$A$3:$A$1063,STUDIES!$G$3:$G$1063,"Not Found!")</f>
        <v>A</v>
      </c>
      <c r="G2165" s="456" t="s">
        <v>147</v>
      </c>
      <c r="H2165">
        <v>16</v>
      </c>
      <c r="I2165">
        <v>123</v>
      </c>
      <c r="J2165">
        <f>0.343*I2165</f>
        <v>42.189</v>
      </c>
      <c r="K2165"/>
      <c r="L2165"/>
      <c r="M2165"/>
      <c r="N2165"/>
      <c r="O2165"/>
      <c r="P2165"/>
      <c r="Q2165"/>
      <c r="R2165"/>
      <c r="S2165"/>
      <c r="T2165"/>
      <c r="U2165"/>
      <c r="V2165"/>
      <c r="W2165"/>
      <c r="X2165"/>
      <c r="Y2165"/>
      <c r="Z2165"/>
      <c r="AA2165"/>
      <c r="AB2165"/>
      <c r="AC2165"/>
      <c r="AD2165"/>
      <c r="AE2165"/>
      <c r="AF2165"/>
      <c r="AG2165"/>
      <c r="AH2165"/>
      <c r="AI2165"/>
      <c r="AJ2165"/>
      <c r="AK2165"/>
      <c r="AL2165"/>
      <c r="AM2165"/>
      <c r="AN2165"/>
      <c r="AO2165"/>
      <c r="AP2165"/>
      <c r="AQ2165"/>
      <c r="AR2165"/>
      <c r="AS2165"/>
      <c r="AT2165"/>
      <c r="AU2165"/>
    </row>
    <row r="2166" spans="1:47" ht="18" customHeight="1" x14ac:dyDescent="0.35">
      <c r="A2166">
        <f>MATCH(B2166,STUDIES!$A$3:$A$502,0)</f>
        <v>91</v>
      </c>
      <c r="B2166" t="s">
        <v>2245</v>
      </c>
      <c r="C2166" s="456"/>
      <c r="D2166" t="s">
        <v>1072</v>
      </c>
      <c r="E2166" t="s">
        <v>1244</v>
      </c>
      <c r="F2166" s="456" t="str">
        <f>_xlfn.XLOOKUP(B2166,STUDIES!$A$3:$A$1063,STUDIES!$G$3:$G$1063,"Not Found!")</f>
        <v>A</v>
      </c>
      <c r="G2166" s="456" t="s">
        <v>147</v>
      </c>
      <c r="H2166">
        <v>16</v>
      </c>
      <c r="I2166">
        <v>81</v>
      </c>
      <c r="J2166">
        <f>0.284*I2166</f>
        <v>23.003999999999998</v>
      </c>
      <c r="K2166"/>
      <c r="L2166"/>
      <c r="M2166"/>
      <c r="N2166"/>
      <c r="O2166"/>
      <c r="P2166"/>
      <c r="Q2166"/>
      <c r="R2166"/>
      <c r="S2166"/>
      <c r="T2166"/>
      <c r="U2166"/>
      <c r="V2166"/>
      <c r="W2166"/>
      <c r="X2166"/>
      <c r="Y2166"/>
      <c r="Z2166"/>
      <c r="AA2166"/>
      <c r="AB2166"/>
      <c r="AC2166"/>
      <c r="AD2166"/>
      <c r="AE2166"/>
      <c r="AF2166"/>
      <c r="AG2166"/>
      <c r="AH2166"/>
      <c r="AI2166"/>
      <c r="AJ2166"/>
      <c r="AK2166"/>
      <c r="AL2166"/>
      <c r="AM2166"/>
      <c r="AN2166"/>
      <c r="AO2166"/>
      <c r="AP2166"/>
      <c r="AQ2166"/>
      <c r="AR2166"/>
      <c r="AS2166"/>
      <c r="AT2166"/>
      <c r="AU2166"/>
    </row>
    <row r="2167" spans="1:47" ht="18" customHeight="1" x14ac:dyDescent="0.35">
      <c r="A2167">
        <f>MATCH(B2167,STUDIES!$A$3:$A$502,0)</f>
        <v>91</v>
      </c>
      <c r="B2167" t="s">
        <v>2245</v>
      </c>
      <c r="C2167" s="456"/>
      <c r="D2167" t="s">
        <v>148</v>
      </c>
      <c r="E2167" t="s">
        <v>1163</v>
      </c>
      <c r="F2167" s="456" t="str">
        <f>_xlfn.XLOOKUP(B2167,STUDIES!$A$3:$A$1063,STUDIES!$G$3:$G$1063,"Not Found!")</f>
        <v>A</v>
      </c>
      <c r="G2167" s="456" t="s">
        <v>147</v>
      </c>
      <c r="H2167">
        <v>16</v>
      </c>
      <c r="I2167">
        <v>82</v>
      </c>
      <c r="J2167">
        <v>2</v>
      </c>
      <c r="K2167"/>
      <c r="L2167"/>
      <c r="M2167"/>
      <c r="N2167"/>
      <c r="O2167"/>
      <c r="P2167"/>
      <c r="Q2167"/>
      <c r="R2167"/>
      <c r="S2167"/>
      <c r="T2167"/>
      <c r="U2167"/>
      <c r="V2167"/>
      <c r="W2167"/>
      <c r="X2167"/>
      <c r="Y2167"/>
      <c r="Z2167"/>
      <c r="AA2167"/>
      <c r="AB2167"/>
      <c r="AC2167"/>
      <c r="AD2167"/>
      <c r="AE2167"/>
      <c r="AF2167"/>
      <c r="AG2167"/>
      <c r="AH2167"/>
      <c r="AI2167"/>
      <c r="AJ2167"/>
      <c r="AK2167"/>
      <c r="AL2167"/>
      <c r="AM2167"/>
      <c r="AN2167"/>
      <c r="AO2167"/>
      <c r="AP2167"/>
      <c r="AQ2167"/>
      <c r="AR2167"/>
      <c r="AS2167"/>
      <c r="AT2167"/>
      <c r="AU2167"/>
    </row>
    <row r="2168" spans="1:47" ht="18" customHeight="1" x14ac:dyDescent="0.35">
      <c r="A2168">
        <f>MATCH(B2168,STUDIES!$A$3:$A$502,0)</f>
        <v>91</v>
      </c>
      <c r="B2168" t="s">
        <v>2245</v>
      </c>
      <c r="C2168" s="456"/>
      <c r="D2168" t="s">
        <v>1073</v>
      </c>
      <c r="E2168" t="s">
        <v>1163</v>
      </c>
      <c r="F2168" s="456" t="str">
        <f>_xlfn.XLOOKUP(B2168,STUDIES!$A$3:$A$1063,STUDIES!$G$3:$G$1063,"Not Found!")</f>
        <v>A</v>
      </c>
      <c r="G2168" s="456" t="s">
        <v>147</v>
      </c>
      <c r="H2168">
        <v>16</v>
      </c>
      <c r="I2168">
        <v>123</v>
      </c>
      <c r="J2168">
        <v>1</v>
      </c>
      <c r="K2168"/>
      <c r="L2168"/>
      <c r="M2168"/>
      <c r="N2168"/>
      <c r="O2168"/>
      <c r="P2168"/>
      <c r="Q2168"/>
      <c r="R2168"/>
      <c r="S2168"/>
      <c r="T2168"/>
      <c r="U2168"/>
      <c r="V2168"/>
      <c r="W2168"/>
      <c r="X2168"/>
      <c r="Y2168"/>
      <c r="Z2168"/>
      <c r="AA2168"/>
      <c r="AB2168"/>
      <c r="AC2168"/>
      <c r="AD2168"/>
      <c r="AE2168"/>
      <c r="AF2168"/>
      <c r="AG2168"/>
      <c r="AH2168"/>
      <c r="AI2168"/>
      <c r="AJ2168"/>
      <c r="AK2168"/>
      <c r="AL2168"/>
      <c r="AM2168"/>
      <c r="AN2168"/>
      <c r="AO2168"/>
      <c r="AP2168"/>
      <c r="AQ2168"/>
      <c r="AR2168"/>
      <c r="AS2168"/>
      <c r="AT2168"/>
      <c r="AU2168"/>
    </row>
    <row r="2169" spans="1:47" ht="18" customHeight="1" x14ac:dyDescent="0.35">
      <c r="A2169">
        <f>MATCH(B2169,STUDIES!$A$3:$A$502,0)</f>
        <v>91</v>
      </c>
      <c r="B2169" t="s">
        <v>2245</v>
      </c>
      <c r="C2169" s="456"/>
      <c r="D2169" t="s">
        <v>1072</v>
      </c>
      <c r="E2169" t="s">
        <v>1163</v>
      </c>
      <c r="F2169" s="456" t="str">
        <f>_xlfn.XLOOKUP(B2169,STUDIES!$A$3:$A$1063,STUDIES!$G$3:$G$1063,"Not Found!")</f>
        <v>A</v>
      </c>
      <c r="G2169" s="456" t="s">
        <v>147</v>
      </c>
      <c r="H2169">
        <v>16</v>
      </c>
      <c r="I2169">
        <v>81</v>
      </c>
      <c r="J2169">
        <v>0</v>
      </c>
      <c r="K2169"/>
      <c r="L2169"/>
      <c r="M2169"/>
      <c r="N2169"/>
      <c r="O2169"/>
      <c r="P2169"/>
      <c r="Q2169"/>
      <c r="R2169"/>
      <c r="S2169"/>
      <c r="T2169"/>
      <c r="U2169"/>
      <c r="V2169"/>
      <c r="W2169"/>
      <c r="X2169"/>
      <c r="Y2169"/>
      <c r="Z2169"/>
      <c r="AA2169"/>
      <c r="AB2169"/>
      <c r="AC2169"/>
      <c r="AD2169"/>
      <c r="AE2169"/>
      <c r="AF2169"/>
      <c r="AG2169"/>
      <c r="AH2169"/>
      <c r="AI2169"/>
      <c r="AJ2169"/>
      <c r="AK2169"/>
      <c r="AL2169"/>
      <c r="AM2169"/>
      <c r="AN2169"/>
      <c r="AO2169"/>
      <c r="AP2169"/>
      <c r="AQ2169"/>
      <c r="AR2169"/>
      <c r="AS2169"/>
      <c r="AT2169"/>
      <c r="AU2169"/>
    </row>
    <row r="2170" spans="1:47" ht="18" customHeight="1" x14ac:dyDescent="0.35">
      <c r="A2170">
        <f>MATCH(B2170,STUDIES!$A$3:$A$502,0)</f>
        <v>91</v>
      </c>
      <c r="B2170" t="s">
        <v>2245</v>
      </c>
      <c r="C2170" s="456"/>
      <c r="D2170" t="s">
        <v>148</v>
      </c>
      <c r="E2170" t="s">
        <v>1167</v>
      </c>
      <c r="F2170" s="456" t="str">
        <f>_xlfn.XLOOKUP(B2170,STUDIES!$A$3:$A$1063,STUDIES!$G$3:$G$1063,"Not Found!")</f>
        <v>A</v>
      </c>
      <c r="G2170" s="456" t="s">
        <v>147</v>
      </c>
      <c r="H2170">
        <v>16</v>
      </c>
      <c r="I2170">
        <v>82</v>
      </c>
      <c r="J2170">
        <v>0</v>
      </c>
      <c r="K2170"/>
      <c r="L2170"/>
      <c r="M2170"/>
      <c r="N2170"/>
      <c r="O2170"/>
      <c r="P2170"/>
      <c r="Q2170"/>
      <c r="R2170"/>
      <c r="S2170"/>
      <c r="T2170"/>
      <c r="U2170"/>
      <c r="V2170"/>
      <c r="W2170"/>
      <c r="X2170"/>
      <c r="Y2170"/>
      <c r="Z2170"/>
      <c r="AA2170"/>
      <c r="AB2170"/>
      <c r="AC2170"/>
      <c r="AD2170"/>
      <c r="AE2170"/>
      <c r="AF2170"/>
      <c r="AG2170"/>
      <c r="AH2170"/>
      <c r="AI2170"/>
      <c r="AJ2170"/>
      <c r="AK2170"/>
      <c r="AL2170"/>
      <c r="AM2170"/>
      <c r="AN2170"/>
      <c r="AO2170"/>
      <c r="AP2170"/>
      <c r="AQ2170"/>
      <c r="AR2170"/>
      <c r="AS2170"/>
      <c r="AT2170"/>
      <c r="AU2170"/>
    </row>
    <row r="2171" spans="1:47" ht="18" customHeight="1" x14ac:dyDescent="0.35">
      <c r="A2171">
        <f>MATCH(B2171,STUDIES!$A$3:$A$502,0)</f>
        <v>91</v>
      </c>
      <c r="B2171" t="s">
        <v>2245</v>
      </c>
      <c r="C2171" s="456"/>
      <c r="D2171" t="s">
        <v>1073</v>
      </c>
      <c r="E2171" t="s">
        <v>1167</v>
      </c>
      <c r="F2171" s="456" t="str">
        <f>_xlfn.XLOOKUP(B2171,STUDIES!$A$3:$A$1063,STUDIES!$G$3:$G$1063,"Not Found!")</f>
        <v>A</v>
      </c>
      <c r="G2171" s="456" t="s">
        <v>147</v>
      </c>
      <c r="H2171">
        <v>16</v>
      </c>
      <c r="I2171">
        <v>123</v>
      </c>
      <c r="J2171">
        <v>2</v>
      </c>
      <c r="K2171"/>
      <c r="L2171"/>
      <c r="M2171"/>
      <c r="N2171"/>
      <c r="O2171"/>
      <c r="P2171"/>
      <c r="Q2171"/>
      <c r="R2171"/>
      <c r="S2171"/>
      <c r="T2171"/>
      <c r="U2171"/>
      <c r="V2171"/>
      <c r="W2171"/>
      <c r="X2171"/>
      <c r="Y2171"/>
      <c r="Z2171"/>
      <c r="AA2171"/>
      <c r="AB2171"/>
      <c r="AC2171"/>
      <c r="AD2171"/>
      <c r="AE2171"/>
      <c r="AF2171"/>
      <c r="AG2171"/>
      <c r="AH2171"/>
      <c r="AI2171"/>
      <c r="AJ2171"/>
      <c r="AK2171"/>
      <c r="AL2171"/>
      <c r="AM2171"/>
      <c r="AN2171"/>
      <c r="AO2171"/>
      <c r="AP2171"/>
      <c r="AQ2171"/>
      <c r="AR2171"/>
      <c r="AS2171"/>
      <c r="AT2171"/>
      <c r="AU2171"/>
    </row>
    <row r="2172" spans="1:47" ht="18" customHeight="1" x14ac:dyDescent="0.35">
      <c r="A2172">
        <f>MATCH(B2172,STUDIES!$A$3:$A$502,0)</f>
        <v>91</v>
      </c>
      <c r="B2172" t="s">
        <v>2245</v>
      </c>
      <c r="C2172" s="456"/>
      <c r="D2172" t="s">
        <v>1072</v>
      </c>
      <c r="E2172" t="s">
        <v>1167</v>
      </c>
      <c r="F2172" s="456" t="str">
        <f>_xlfn.XLOOKUP(B2172,STUDIES!$A$3:$A$1063,STUDIES!$G$3:$G$1063,"Not Found!")</f>
        <v>A</v>
      </c>
      <c r="G2172" s="456" t="s">
        <v>147</v>
      </c>
      <c r="H2172">
        <v>16</v>
      </c>
      <c r="I2172">
        <v>81</v>
      </c>
      <c r="J2172">
        <v>0</v>
      </c>
      <c r="K2172"/>
      <c r="L2172"/>
      <c r="M2172"/>
      <c r="N2172"/>
      <c r="O2172"/>
      <c r="P2172"/>
      <c r="Q2172"/>
      <c r="R2172"/>
      <c r="S2172"/>
      <c r="T2172"/>
      <c r="U2172"/>
      <c r="V2172"/>
      <c r="W2172"/>
      <c r="X2172"/>
      <c r="Y2172"/>
      <c r="Z2172"/>
      <c r="AA2172"/>
      <c r="AB2172"/>
      <c r="AC2172"/>
      <c r="AD2172"/>
      <c r="AE2172"/>
      <c r="AF2172"/>
      <c r="AG2172"/>
      <c r="AH2172"/>
      <c r="AI2172"/>
      <c r="AJ2172"/>
      <c r="AK2172"/>
      <c r="AL2172"/>
      <c r="AM2172"/>
      <c r="AN2172"/>
      <c r="AO2172"/>
      <c r="AP2172"/>
      <c r="AQ2172"/>
      <c r="AR2172"/>
      <c r="AS2172"/>
      <c r="AT2172"/>
      <c r="AU2172"/>
    </row>
    <row r="2173" spans="1:47" ht="18" customHeight="1" x14ac:dyDescent="0.35">
      <c r="A2173">
        <f>MATCH(B2173,STUDIES!$A$3:$A$502,0)</f>
        <v>92</v>
      </c>
      <c r="B2173" t="s">
        <v>1783</v>
      </c>
      <c r="C2173" s="456"/>
      <c r="D2173" t="s">
        <v>1787</v>
      </c>
      <c r="E2173" t="s">
        <v>151</v>
      </c>
      <c r="F2173" s="456" t="str">
        <f>_xlfn.XLOOKUP(B2173,STUDIES!$A$3:$A$1063,STUDIES!$G$3:$G$1063,"Not Found!")</f>
        <v>A</v>
      </c>
      <c r="G2173" s="456" t="s">
        <v>147</v>
      </c>
      <c r="H2173">
        <v>16</v>
      </c>
      <c r="I2173">
        <v>29</v>
      </c>
      <c r="J2173"/>
      <c r="K2173"/>
      <c r="L2173"/>
      <c r="M2173"/>
      <c r="N2173"/>
      <c r="O2173"/>
      <c r="P2173"/>
      <c r="Q2173"/>
      <c r="R2173">
        <v>-15.3</v>
      </c>
      <c r="S2173">
        <v>2.64</v>
      </c>
      <c r="T2173"/>
      <c r="U2173"/>
      <c r="V2173"/>
      <c r="W2173"/>
      <c r="X2173"/>
      <c r="Y2173"/>
      <c r="Z2173"/>
      <c r="AA2173"/>
      <c r="AB2173"/>
      <c r="AC2173"/>
      <c r="AD2173"/>
      <c r="AE2173"/>
      <c r="AF2173"/>
      <c r="AG2173"/>
      <c r="AH2173"/>
      <c r="AI2173"/>
      <c r="AJ2173"/>
      <c r="AK2173"/>
      <c r="AL2173"/>
      <c r="AM2173"/>
      <c r="AN2173"/>
      <c r="AO2173"/>
      <c r="AP2173"/>
      <c r="AQ2173"/>
      <c r="AR2173"/>
      <c r="AS2173"/>
      <c r="AT2173"/>
      <c r="AU2173"/>
    </row>
    <row r="2174" spans="1:47" ht="18" customHeight="1" x14ac:dyDescent="0.35">
      <c r="A2174">
        <f>MATCH(B2174,STUDIES!$A$3:$A$502,0)</f>
        <v>92</v>
      </c>
      <c r="B2174" t="s">
        <v>1783</v>
      </c>
      <c r="C2174" s="456"/>
      <c r="D2174" t="s">
        <v>148</v>
      </c>
      <c r="E2174" t="s">
        <v>151</v>
      </c>
      <c r="F2174" s="456" t="str">
        <f>_xlfn.XLOOKUP(B2174,STUDIES!$A$3:$A$1063,STUDIES!$G$3:$G$1063,"Not Found!")</f>
        <v>A</v>
      </c>
      <c r="G2174" s="456" t="s">
        <v>147</v>
      </c>
      <c r="H2174">
        <v>16</v>
      </c>
      <c r="I2174">
        <v>29</v>
      </c>
      <c r="J2174"/>
      <c r="K2174"/>
      <c r="L2174"/>
      <c r="M2174"/>
      <c r="N2174"/>
      <c r="O2174"/>
      <c r="P2174"/>
      <c r="Q2174"/>
      <c r="R2174">
        <v>-3.5</v>
      </c>
      <c r="S2174">
        <v>2.91</v>
      </c>
      <c r="T2174"/>
      <c r="U2174"/>
      <c r="V2174"/>
      <c r="W2174"/>
      <c r="X2174"/>
      <c r="Y2174"/>
      <c r="Z2174"/>
      <c r="AA2174"/>
      <c r="AB2174"/>
      <c r="AC2174"/>
      <c r="AD2174"/>
      <c r="AE2174"/>
      <c r="AF2174"/>
      <c r="AG2174"/>
      <c r="AH2174"/>
      <c r="AI2174"/>
      <c r="AJ2174"/>
      <c r="AK2174"/>
      <c r="AL2174"/>
      <c r="AM2174"/>
      <c r="AN2174"/>
      <c r="AO2174"/>
      <c r="AP2174"/>
      <c r="AQ2174"/>
      <c r="AR2174"/>
      <c r="AS2174"/>
      <c r="AT2174"/>
      <c r="AU2174"/>
    </row>
    <row r="2175" spans="1:47" ht="18" customHeight="1" x14ac:dyDescent="0.35">
      <c r="A2175">
        <f>MATCH(B2175,STUDIES!$A$3:$A$502,0)</f>
        <v>92</v>
      </c>
      <c r="B2175" t="s">
        <v>1783</v>
      </c>
      <c r="C2175" s="456"/>
      <c r="D2175" t="s">
        <v>1787</v>
      </c>
      <c r="E2175" t="s">
        <v>1163</v>
      </c>
      <c r="F2175" s="456" t="str">
        <f>_xlfn.XLOOKUP(B2175,STUDIES!$A$3:$A$1063,STUDIES!$G$3:$G$1063,"Not Found!")</f>
        <v>A</v>
      </c>
      <c r="G2175" s="456" t="s">
        <v>147</v>
      </c>
      <c r="H2175">
        <v>16</v>
      </c>
      <c r="I2175">
        <v>29</v>
      </c>
      <c r="J2175">
        <v>0</v>
      </c>
      <c r="K2175"/>
      <c r="L2175"/>
      <c r="M2175"/>
      <c r="N2175"/>
      <c r="O2175"/>
      <c r="P2175"/>
      <c r="Q2175"/>
      <c r="R2175"/>
      <c r="S2175"/>
      <c r="T2175"/>
      <c r="U2175"/>
      <c r="V2175"/>
      <c r="W2175"/>
      <c r="X2175"/>
      <c r="Y2175"/>
      <c r="Z2175"/>
      <c r="AA2175"/>
      <c r="AB2175"/>
      <c r="AC2175"/>
      <c r="AD2175"/>
      <c r="AE2175"/>
      <c r="AF2175"/>
      <c r="AG2175"/>
      <c r="AH2175"/>
      <c r="AI2175"/>
      <c r="AJ2175"/>
      <c r="AK2175"/>
      <c r="AL2175"/>
      <c r="AM2175"/>
      <c r="AN2175"/>
      <c r="AO2175"/>
      <c r="AP2175"/>
      <c r="AQ2175"/>
      <c r="AR2175"/>
      <c r="AS2175"/>
      <c r="AT2175"/>
      <c r="AU2175"/>
    </row>
    <row r="2176" spans="1:47" ht="18" customHeight="1" x14ac:dyDescent="0.35">
      <c r="A2176">
        <f>MATCH(B2176,STUDIES!$A$3:$A$502,0)</f>
        <v>92</v>
      </c>
      <c r="B2176" t="s">
        <v>1783</v>
      </c>
      <c r="C2176" s="456"/>
      <c r="D2176" t="s">
        <v>148</v>
      </c>
      <c r="E2176" t="s">
        <v>1163</v>
      </c>
      <c r="F2176" s="456" t="str">
        <f>_xlfn.XLOOKUP(B2176,STUDIES!$A$3:$A$1063,STUDIES!$G$3:$G$1063,"Not Found!")</f>
        <v>A</v>
      </c>
      <c r="G2176" s="456" t="s">
        <v>147</v>
      </c>
      <c r="H2176">
        <v>16</v>
      </c>
      <c r="I2176">
        <v>29</v>
      </c>
      <c r="J2176">
        <v>0</v>
      </c>
      <c r="K2176"/>
      <c r="L2176"/>
      <c r="M2176"/>
      <c r="N2176"/>
      <c r="O2176"/>
      <c r="P2176"/>
      <c r="Q2176"/>
      <c r="R2176"/>
      <c r="S2176"/>
      <c r="T2176"/>
      <c r="U2176"/>
      <c r="V2176"/>
      <c r="W2176"/>
      <c r="X2176"/>
      <c r="Y2176"/>
      <c r="Z2176"/>
      <c r="AA2176"/>
      <c r="AB2176"/>
      <c r="AC2176"/>
      <c r="AD2176"/>
      <c r="AE2176"/>
      <c r="AF2176"/>
      <c r="AG2176"/>
      <c r="AH2176"/>
      <c r="AI2176"/>
      <c r="AJ2176"/>
      <c r="AK2176"/>
      <c r="AL2176"/>
      <c r="AM2176"/>
      <c r="AN2176"/>
      <c r="AO2176"/>
      <c r="AP2176"/>
      <c r="AQ2176"/>
      <c r="AR2176"/>
      <c r="AS2176"/>
      <c r="AT2176"/>
      <c r="AU2176"/>
    </row>
    <row r="2177" spans="1:47" ht="18" customHeight="1" x14ac:dyDescent="0.35">
      <c r="A2177">
        <f>MATCH(B2177,STUDIES!$A$3:$A$502,0)</f>
        <v>92</v>
      </c>
      <c r="B2177" t="s">
        <v>1783</v>
      </c>
      <c r="C2177" s="456"/>
      <c r="D2177" t="s">
        <v>1787</v>
      </c>
      <c r="E2177" t="s">
        <v>1167</v>
      </c>
      <c r="F2177" s="456" t="str">
        <f>_xlfn.XLOOKUP(B2177,STUDIES!$A$3:$A$1063,STUDIES!$G$3:$G$1063,"Not Found!")</f>
        <v>A</v>
      </c>
      <c r="G2177" s="456" t="s">
        <v>147</v>
      </c>
      <c r="H2177">
        <v>16</v>
      </c>
      <c r="I2177">
        <v>29</v>
      </c>
      <c r="J2177">
        <v>2</v>
      </c>
      <c r="K2177"/>
      <c r="L2177"/>
      <c r="M2177"/>
      <c r="N2177"/>
      <c r="O2177"/>
      <c r="P2177"/>
      <c r="Q2177"/>
      <c r="R2177"/>
      <c r="S2177"/>
      <c r="T2177"/>
      <c r="U2177"/>
      <c r="V2177"/>
      <c r="W2177"/>
      <c r="X2177"/>
      <c r="Y2177"/>
      <c r="Z2177"/>
      <c r="AA2177"/>
      <c r="AB2177"/>
      <c r="AC2177"/>
      <c r="AD2177"/>
      <c r="AE2177"/>
      <c r="AF2177"/>
      <c r="AG2177"/>
      <c r="AH2177"/>
      <c r="AI2177"/>
      <c r="AJ2177"/>
      <c r="AK2177"/>
      <c r="AL2177"/>
      <c r="AM2177"/>
      <c r="AN2177"/>
      <c r="AO2177"/>
      <c r="AP2177"/>
      <c r="AQ2177"/>
      <c r="AR2177"/>
      <c r="AS2177"/>
      <c r="AT2177"/>
      <c r="AU2177"/>
    </row>
    <row r="2178" spans="1:47" ht="18" customHeight="1" x14ac:dyDescent="0.35">
      <c r="A2178">
        <f>MATCH(B2178,STUDIES!$A$3:$A$502,0)</f>
        <v>92</v>
      </c>
      <c r="B2178" t="s">
        <v>1783</v>
      </c>
      <c r="C2178" s="456"/>
      <c r="D2178" t="s">
        <v>148</v>
      </c>
      <c r="E2178" t="s">
        <v>1167</v>
      </c>
      <c r="F2178" s="456" t="str">
        <f>_xlfn.XLOOKUP(B2178,STUDIES!$A$3:$A$1063,STUDIES!$G$3:$G$1063,"Not Found!")</f>
        <v>A</v>
      </c>
      <c r="G2178" s="456" t="s">
        <v>147</v>
      </c>
      <c r="H2178">
        <v>16</v>
      </c>
      <c r="I2178">
        <v>29</v>
      </c>
      <c r="J2178">
        <v>2</v>
      </c>
      <c r="K2178"/>
      <c r="L2178"/>
      <c r="M2178"/>
      <c r="N2178"/>
      <c r="O2178"/>
      <c r="P2178"/>
      <c r="Q2178"/>
      <c r="R2178"/>
      <c r="S2178"/>
      <c r="T2178"/>
      <c r="U2178"/>
      <c r="V2178"/>
      <c r="W2178"/>
      <c r="X2178"/>
      <c r="Y2178"/>
      <c r="Z2178"/>
      <c r="AA2178"/>
      <c r="AB2178"/>
      <c r="AC2178"/>
      <c r="AD2178"/>
      <c r="AE2178"/>
      <c r="AF2178"/>
      <c r="AG2178"/>
      <c r="AH2178"/>
      <c r="AI2178"/>
      <c r="AJ2178"/>
      <c r="AK2178"/>
      <c r="AL2178"/>
      <c r="AM2178"/>
      <c r="AN2178"/>
      <c r="AO2178"/>
      <c r="AP2178"/>
      <c r="AQ2178"/>
      <c r="AR2178"/>
      <c r="AS2178"/>
      <c r="AT2178"/>
      <c r="AU2178"/>
    </row>
    <row r="2179" spans="1:47" ht="18" customHeight="1" x14ac:dyDescent="0.35">
      <c r="A2179">
        <f>MATCH(B2179,STUDIES!$A$3:$A$502,0)</f>
        <v>93</v>
      </c>
      <c r="B2179" t="s">
        <v>1796</v>
      </c>
      <c r="C2179" s="456"/>
      <c r="D2179" t="s">
        <v>148</v>
      </c>
      <c r="E2179" t="s">
        <v>1243</v>
      </c>
      <c r="F2179" s="456" t="str">
        <f>_xlfn.XLOOKUP(B2179,STUDIES!$A$3:$A$1063,STUDIES!$G$3:$G$1063,"Not Found!")</f>
        <v>A</v>
      </c>
      <c r="G2179" s="456" t="s">
        <v>147</v>
      </c>
      <c r="H2179">
        <v>16</v>
      </c>
      <c r="I2179">
        <v>29</v>
      </c>
      <c r="J2179">
        <f>0.138*I2179</f>
        <v>4.0020000000000007</v>
      </c>
      <c r="K2179"/>
      <c r="L2179"/>
      <c r="M2179"/>
      <c r="N2179"/>
      <c r="O2179"/>
      <c r="P2179"/>
      <c r="Q2179"/>
      <c r="R2179"/>
      <c r="S2179"/>
      <c r="T2179"/>
      <c r="U2179"/>
      <c r="V2179"/>
      <c r="W2179"/>
      <c r="X2179"/>
      <c r="Y2179"/>
      <c r="Z2179"/>
      <c r="AA2179"/>
      <c r="AB2179"/>
      <c r="AC2179"/>
      <c r="AD2179"/>
      <c r="AE2179"/>
      <c r="AF2179"/>
      <c r="AG2179"/>
      <c r="AH2179"/>
      <c r="AI2179"/>
      <c r="AJ2179"/>
      <c r="AK2179"/>
      <c r="AL2179"/>
      <c r="AM2179"/>
      <c r="AN2179"/>
      <c r="AO2179"/>
      <c r="AP2179"/>
      <c r="AQ2179"/>
      <c r="AR2179"/>
      <c r="AS2179"/>
      <c r="AT2179"/>
      <c r="AU2179"/>
    </row>
    <row r="2180" spans="1:47" ht="18" customHeight="1" x14ac:dyDescent="0.35">
      <c r="A2180">
        <f>MATCH(B2180,STUDIES!$A$3:$A$502,0)</f>
        <v>93</v>
      </c>
      <c r="B2180" t="s">
        <v>1796</v>
      </c>
      <c r="C2180" s="456"/>
      <c r="D2180" t="s">
        <v>1800</v>
      </c>
      <c r="E2180" t="s">
        <v>1243</v>
      </c>
      <c r="F2180" s="456" t="str">
        <f>_xlfn.XLOOKUP(B2180,STUDIES!$A$3:$A$1063,STUDIES!$G$3:$G$1063,"Not Found!")</f>
        <v>A</v>
      </c>
      <c r="G2180" s="456" t="s">
        <v>147</v>
      </c>
      <c r="H2180">
        <v>16</v>
      </c>
      <c r="I2180">
        <v>29</v>
      </c>
      <c r="J2180">
        <f>0.241*I2180</f>
        <v>6.9889999999999999</v>
      </c>
      <c r="K2180"/>
      <c r="L2180"/>
      <c r="M2180"/>
      <c r="N2180"/>
      <c r="O2180"/>
      <c r="P2180"/>
      <c r="Q2180"/>
      <c r="R2180"/>
      <c r="S2180"/>
      <c r="T2180"/>
      <c r="U2180"/>
      <c r="V2180"/>
      <c r="W2180"/>
      <c r="X2180"/>
      <c r="Y2180"/>
      <c r="Z2180"/>
      <c r="AA2180"/>
      <c r="AB2180"/>
      <c r="AC2180"/>
      <c r="AD2180"/>
      <c r="AE2180"/>
      <c r="AF2180"/>
      <c r="AG2180"/>
      <c r="AH2180"/>
      <c r="AI2180"/>
      <c r="AJ2180"/>
      <c r="AK2180"/>
      <c r="AL2180"/>
      <c r="AM2180"/>
      <c r="AN2180"/>
      <c r="AO2180"/>
      <c r="AP2180"/>
      <c r="AQ2180"/>
      <c r="AR2180"/>
      <c r="AS2180"/>
      <c r="AT2180"/>
      <c r="AU2180"/>
    </row>
    <row r="2181" spans="1:47" ht="18" customHeight="1" x14ac:dyDescent="0.35">
      <c r="A2181">
        <f>MATCH(B2181,STUDIES!$A$3:$A$502,0)</f>
        <v>93</v>
      </c>
      <c r="B2181" t="s">
        <v>1796</v>
      </c>
      <c r="C2181" s="456"/>
      <c r="D2181" t="s">
        <v>1801</v>
      </c>
      <c r="E2181" t="s">
        <v>1243</v>
      </c>
      <c r="F2181" s="456" t="str">
        <f>_xlfn.XLOOKUP(B2181,STUDIES!$A$3:$A$1063,STUDIES!$G$3:$G$1063,"Not Found!")</f>
        <v>A</v>
      </c>
      <c r="G2181" s="456" t="s">
        <v>147</v>
      </c>
      <c r="H2181">
        <v>16</v>
      </c>
      <c r="I2181">
        <v>29</v>
      </c>
      <c r="J2181">
        <f>0.345*I2181</f>
        <v>10.004999999999999</v>
      </c>
      <c r="K2181"/>
      <c r="L2181"/>
      <c r="M2181"/>
      <c r="N2181"/>
      <c r="O2181"/>
      <c r="P2181"/>
      <c r="Q2181"/>
      <c r="R2181"/>
      <c r="S2181"/>
      <c r="T2181"/>
      <c r="U2181"/>
      <c r="V2181"/>
      <c r="W2181"/>
      <c r="X2181"/>
      <c r="Y2181"/>
      <c r="Z2181"/>
      <c r="AA2181"/>
      <c r="AB2181"/>
      <c r="AC2181"/>
      <c r="AD2181"/>
      <c r="AE2181"/>
      <c r="AF2181"/>
      <c r="AG2181"/>
      <c r="AH2181"/>
      <c r="AI2181"/>
      <c r="AJ2181"/>
      <c r="AK2181"/>
      <c r="AL2181"/>
      <c r="AM2181"/>
      <c r="AN2181"/>
      <c r="AO2181"/>
      <c r="AP2181"/>
      <c r="AQ2181"/>
      <c r="AR2181"/>
      <c r="AS2181"/>
      <c r="AT2181"/>
      <c r="AU2181"/>
    </row>
    <row r="2182" spans="1:47" ht="18" customHeight="1" x14ac:dyDescent="0.35">
      <c r="A2182">
        <f>MATCH(B2182,STUDIES!$A$3:$A$502,0)</f>
        <v>93</v>
      </c>
      <c r="B2182" t="s">
        <v>1796</v>
      </c>
      <c r="C2182" s="456"/>
      <c r="D2182" t="s">
        <v>148</v>
      </c>
      <c r="E2182" t="s">
        <v>1268</v>
      </c>
      <c r="F2182" s="456" t="str">
        <f>_xlfn.XLOOKUP(B2182,STUDIES!$A$3:$A$1063,STUDIES!$G$3:$G$1063,"Not Found!")</f>
        <v>A</v>
      </c>
      <c r="G2182" s="456" t="s">
        <v>147</v>
      </c>
      <c r="H2182">
        <v>16</v>
      </c>
      <c r="I2182">
        <v>29</v>
      </c>
      <c r="J2182">
        <f>0.241*I2182</f>
        <v>6.9889999999999999</v>
      </c>
      <c r="K2182"/>
      <c r="L2182"/>
      <c r="M2182"/>
      <c r="N2182"/>
      <c r="O2182"/>
      <c r="P2182"/>
      <c r="Q2182"/>
      <c r="R2182"/>
      <c r="S2182"/>
      <c r="T2182"/>
      <c r="U2182"/>
      <c r="V2182"/>
      <c r="W2182"/>
      <c r="X2182"/>
      <c r="Y2182"/>
      <c r="Z2182"/>
      <c r="AA2182"/>
      <c r="AB2182"/>
      <c r="AC2182"/>
      <c r="AD2182"/>
      <c r="AE2182"/>
      <c r="AF2182"/>
      <c r="AG2182"/>
      <c r="AH2182"/>
      <c r="AI2182"/>
      <c r="AJ2182"/>
      <c r="AK2182"/>
      <c r="AL2182"/>
      <c r="AM2182"/>
      <c r="AN2182"/>
      <c r="AO2182"/>
      <c r="AP2182"/>
      <c r="AQ2182"/>
      <c r="AR2182"/>
      <c r="AS2182"/>
      <c r="AT2182"/>
      <c r="AU2182"/>
    </row>
    <row r="2183" spans="1:47" ht="18" customHeight="1" x14ac:dyDescent="0.35">
      <c r="A2183">
        <f>MATCH(B2183,STUDIES!$A$3:$A$502,0)</f>
        <v>93</v>
      </c>
      <c r="B2183" t="s">
        <v>1796</v>
      </c>
      <c r="C2183" s="456"/>
      <c r="D2183" t="s">
        <v>1800</v>
      </c>
      <c r="E2183" t="s">
        <v>1268</v>
      </c>
      <c r="F2183" s="456" t="str">
        <f>_xlfn.XLOOKUP(B2183,STUDIES!$A$3:$A$1063,STUDIES!$G$3:$G$1063,"Not Found!")</f>
        <v>A</v>
      </c>
      <c r="G2183" s="456" t="s">
        <v>147</v>
      </c>
      <c r="H2183">
        <v>16</v>
      </c>
      <c r="I2183">
        <v>29</v>
      </c>
      <c r="J2183">
        <f>0.345*I2183</f>
        <v>10.004999999999999</v>
      </c>
      <c r="K2183"/>
      <c r="L2183"/>
      <c r="M2183"/>
      <c r="N2183"/>
      <c r="O2183"/>
      <c r="P2183"/>
      <c r="Q2183"/>
      <c r="R2183"/>
      <c r="S2183"/>
      <c r="T2183"/>
      <c r="U2183"/>
      <c r="V2183"/>
      <c r="W2183"/>
      <c r="X2183"/>
      <c r="Y2183"/>
      <c r="Z2183"/>
      <c r="AA2183"/>
      <c r="AB2183"/>
      <c r="AC2183"/>
      <c r="AD2183"/>
      <c r="AE2183"/>
      <c r="AF2183"/>
      <c r="AG2183"/>
      <c r="AH2183"/>
      <c r="AI2183"/>
      <c r="AJ2183"/>
      <c r="AK2183"/>
      <c r="AL2183"/>
      <c r="AM2183"/>
      <c r="AN2183"/>
      <c r="AO2183"/>
      <c r="AP2183"/>
      <c r="AQ2183"/>
      <c r="AR2183"/>
      <c r="AS2183"/>
      <c r="AT2183"/>
      <c r="AU2183"/>
    </row>
    <row r="2184" spans="1:47" ht="18" customHeight="1" x14ac:dyDescent="0.35">
      <c r="A2184">
        <f>MATCH(B2184,STUDIES!$A$3:$A$502,0)</f>
        <v>93</v>
      </c>
      <c r="B2184" t="s">
        <v>1796</v>
      </c>
      <c r="C2184" s="456"/>
      <c r="D2184" t="s">
        <v>1801</v>
      </c>
      <c r="E2184" t="s">
        <v>1268</v>
      </c>
      <c r="F2184" s="456" t="str">
        <f>_xlfn.XLOOKUP(B2184,STUDIES!$A$3:$A$1063,STUDIES!$G$3:$G$1063,"Not Found!")</f>
        <v>A</v>
      </c>
      <c r="G2184" s="456" t="s">
        <v>147</v>
      </c>
      <c r="H2184">
        <v>16</v>
      </c>
      <c r="I2184">
        <v>29</v>
      </c>
      <c r="J2184">
        <f>0.345*I2184</f>
        <v>10.004999999999999</v>
      </c>
      <c r="K2184"/>
      <c r="L2184"/>
      <c r="M2184"/>
      <c r="N2184"/>
      <c r="O2184"/>
      <c r="P2184"/>
      <c r="Q2184"/>
      <c r="R2184"/>
      <c r="S2184"/>
      <c r="T2184"/>
      <c r="U2184"/>
      <c r="V2184"/>
      <c r="W2184"/>
      <c r="X2184"/>
      <c r="Y2184"/>
      <c r="Z2184"/>
      <c r="AA2184"/>
      <c r="AB2184"/>
      <c r="AC2184"/>
      <c r="AD2184"/>
      <c r="AE2184"/>
      <c r="AF2184"/>
      <c r="AG2184"/>
      <c r="AH2184"/>
      <c r="AI2184"/>
      <c r="AJ2184"/>
      <c r="AK2184"/>
      <c r="AL2184"/>
      <c r="AM2184"/>
      <c r="AN2184"/>
      <c r="AO2184"/>
      <c r="AP2184"/>
      <c r="AQ2184"/>
      <c r="AR2184"/>
      <c r="AS2184"/>
      <c r="AT2184"/>
      <c r="AU2184"/>
    </row>
    <row r="2185" spans="1:47" ht="18" customHeight="1" x14ac:dyDescent="0.35">
      <c r="A2185">
        <f>MATCH(B2185,STUDIES!$A$3:$A$502,0)</f>
        <v>93</v>
      </c>
      <c r="B2185" t="s">
        <v>1796</v>
      </c>
      <c r="C2185" s="456"/>
      <c r="D2185" t="s">
        <v>148</v>
      </c>
      <c r="E2185" t="s">
        <v>1244</v>
      </c>
      <c r="F2185" s="456" t="str">
        <f>_xlfn.XLOOKUP(B2185,STUDIES!$A$3:$A$1063,STUDIES!$G$3:$G$1063,"Not Found!")</f>
        <v>A</v>
      </c>
      <c r="G2185" s="456" t="s">
        <v>147</v>
      </c>
      <c r="H2185">
        <v>16</v>
      </c>
      <c r="I2185">
        <v>29</v>
      </c>
      <c r="J2185">
        <v>0</v>
      </c>
      <c r="K2185"/>
      <c r="L2185"/>
      <c r="M2185"/>
      <c r="N2185"/>
      <c r="O2185"/>
      <c r="P2185"/>
      <c r="Q2185"/>
      <c r="R2185"/>
      <c r="S2185"/>
      <c r="T2185"/>
      <c r="U2185"/>
      <c r="V2185"/>
      <c r="W2185"/>
      <c r="X2185"/>
      <c r="Y2185"/>
      <c r="Z2185"/>
      <c r="AA2185"/>
      <c r="AB2185"/>
      <c r="AC2185"/>
      <c r="AD2185"/>
      <c r="AE2185"/>
      <c r="AF2185"/>
      <c r="AG2185"/>
      <c r="AH2185"/>
      <c r="AI2185"/>
      <c r="AJ2185"/>
      <c r="AK2185"/>
      <c r="AL2185"/>
      <c r="AM2185"/>
      <c r="AN2185"/>
      <c r="AO2185"/>
      <c r="AP2185"/>
      <c r="AQ2185"/>
      <c r="AR2185"/>
      <c r="AS2185"/>
      <c r="AT2185"/>
      <c r="AU2185"/>
    </row>
    <row r="2186" spans="1:47" ht="18" customHeight="1" x14ac:dyDescent="0.35">
      <c r="A2186">
        <f>MATCH(B2186,STUDIES!$A$3:$A$502,0)</f>
        <v>93</v>
      </c>
      <c r="B2186" t="s">
        <v>1796</v>
      </c>
      <c r="C2186" s="456"/>
      <c r="D2186" t="s">
        <v>1800</v>
      </c>
      <c r="E2186" t="s">
        <v>1244</v>
      </c>
      <c r="F2186" s="456" t="str">
        <f>_xlfn.XLOOKUP(B2186,STUDIES!$A$3:$A$1063,STUDIES!$G$3:$G$1063,"Not Found!")</f>
        <v>A</v>
      </c>
      <c r="G2186" s="456" t="s">
        <v>147</v>
      </c>
      <c r="H2186">
        <v>16</v>
      </c>
      <c r="I2186">
        <v>29</v>
      </c>
      <c r="J2186">
        <f>0.103*I2186</f>
        <v>2.9869999999999997</v>
      </c>
      <c r="K2186"/>
      <c r="L2186"/>
      <c r="M2186"/>
      <c r="N2186"/>
      <c r="O2186"/>
      <c r="P2186"/>
      <c r="Q2186"/>
      <c r="R2186"/>
      <c r="S2186"/>
      <c r="T2186"/>
      <c r="U2186"/>
      <c r="V2186"/>
      <c r="W2186"/>
      <c r="X2186"/>
      <c r="Y2186"/>
      <c r="Z2186"/>
      <c r="AA2186"/>
      <c r="AB2186"/>
      <c r="AC2186"/>
      <c r="AD2186"/>
      <c r="AE2186"/>
      <c r="AF2186"/>
      <c r="AG2186"/>
      <c r="AH2186"/>
      <c r="AI2186"/>
      <c r="AJ2186"/>
      <c r="AK2186"/>
      <c r="AL2186"/>
      <c r="AM2186"/>
      <c r="AN2186"/>
      <c r="AO2186"/>
      <c r="AP2186"/>
      <c r="AQ2186"/>
      <c r="AR2186"/>
      <c r="AS2186"/>
      <c r="AT2186"/>
      <c r="AU2186"/>
    </row>
    <row r="2187" spans="1:47" ht="18" customHeight="1" x14ac:dyDescent="0.35">
      <c r="A2187">
        <f>MATCH(B2187,STUDIES!$A$3:$A$502,0)</f>
        <v>93</v>
      </c>
      <c r="B2187" t="s">
        <v>1796</v>
      </c>
      <c r="C2187" s="456"/>
      <c r="D2187" t="s">
        <v>1801</v>
      </c>
      <c r="E2187" t="s">
        <v>1244</v>
      </c>
      <c r="F2187" s="456" t="str">
        <f>_xlfn.XLOOKUP(B2187,STUDIES!$A$3:$A$1063,STUDIES!$G$3:$G$1063,"Not Found!")</f>
        <v>A</v>
      </c>
      <c r="G2187" s="456" t="s">
        <v>147</v>
      </c>
      <c r="H2187">
        <v>16</v>
      </c>
      <c r="I2187">
        <v>29</v>
      </c>
      <c r="J2187">
        <f>0.103*I2187</f>
        <v>2.9869999999999997</v>
      </c>
      <c r="K2187"/>
      <c r="L2187"/>
      <c r="M2187"/>
      <c r="N2187"/>
      <c r="O2187"/>
      <c r="P2187"/>
      <c r="Q2187"/>
      <c r="R2187"/>
      <c r="S2187"/>
      <c r="T2187"/>
      <c r="U2187"/>
      <c r="V2187"/>
      <c r="W2187"/>
      <c r="X2187"/>
      <c r="Y2187"/>
      <c r="Z2187"/>
      <c r="AA2187"/>
      <c r="AB2187"/>
      <c r="AC2187"/>
      <c r="AD2187"/>
      <c r="AE2187"/>
      <c r="AF2187"/>
      <c r="AG2187"/>
      <c r="AH2187"/>
      <c r="AI2187"/>
      <c r="AJ2187"/>
      <c r="AK2187"/>
      <c r="AL2187"/>
      <c r="AM2187"/>
      <c r="AN2187"/>
      <c r="AO2187"/>
      <c r="AP2187"/>
      <c r="AQ2187"/>
      <c r="AR2187"/>
      <c r="AS2187"/>
      <c r="AT2187"/>
      <c r="AU2187"/>
    </row>
    <row r="2188" spans="1:47" ht="18" customHeight="1" x14ac:dyDescent="0.35">
      <c r="A2188">
        <f>MATCH(B2188,STUDIES!$A$3:$A$502,0)</f>
        <v>93</v>
      </c>
      <c r="B2188" t="s">
        <v>1796</v>
      </c>
      <c r="C2188" s="456"/>
      <c r="D2188" t="s">
        <v>148</v>
      </c>
      <c r="E2188" t="s">
        <v>154</v>
      </c>
      <c r="F2188" s="456" t="str">
        <f>_xlfn.XLOOKUP(B2188,STUDIES!$A$3:$A$1063,STUDIES!$G$3:$G$1063,"Not Found!")</f>
        <v>A</v>
      </c>
      <c r="G2188" s="456" t="s">
        <v>147</v>
      </c>
      <c r="H2188">
        <v>16</v>
      </c>
      <c r="I2188">
        <v>29</v>
      </c>
      <c r="J2188"/>
      <c r="K2188"/>
      <c r="L2188"/>
      <c r="M2188"/>
      <c r="N2188"/>
      <c r="O2188"/>
      <c r="P2188"/>
      <c r="Q2188"/>
      <c r="R2188">
        <v>-6.07</v>
      </c>
      <c r="S2188"/>
      <c r="T2188">
        <v>7.1509999999999998</v>
      </c>
      <c r="U2188"/>
      <c r="V2188"/>
      <c r="W2188"/>
      <c r="X2188"/>
      <c r="Y2188"/>
      <c r="Z2188"/>
      <c r="AA2188"/>
      <c r="AB2188"/>
      <c r="AC2188"/>
      <c r="AD2188"/>
      <c r="AE2188"/>
      <c r="AF2188"/>
      <c r="AG2188"/>
      <c r="AH2188"/>
      <c r="AI2188"/>
      <c r="AJ2188"/>
      <c r="AK2188"/>
      <c r="AL2188"/>
      <c r="AM2188"/>
      <c r="AN2188"/>
      <c r="AO2188"/>
      <c r="AP2188"/>
      <c r="AQ2188"/>
      <c r="AR2188"/>
      <c r="AS2188"/>
      <c r="AT2188"/>
      <c r="AU2188"/>
    </row>
    <row r="2189" spans="1:47" ht="18" customHeight="1" x14ac:dyDescent="0.35">
      <c r="A2189">
        <f>MATCH(B2189,STUDIES!$A$3:$A$502,0)</f>
        <v>93</v>
      </c>
      <c r="B2189" t="s">
        <v>1796</v>
      </c>
      <c r="C2189" s="456"/>
      <c r="D2189" t="s">
        <v>1800</v>
      </c>
      <c r="E2189" t="s">
        <v>154</v>
      </c>
      <c r="F2189" s="456" t="str">
        <f>_xlfn.XLOOKUP(B2189,STUDIES!$A$3:$A$1063,STUDIES!$G$3:$G$1063,"Not Found!")</f>
        <v>A</v>
      </c>
      <c r="G2189" s="456" t="s">
        <v>147</v>
      </c>
      <c r="H2189">
        <v>16</v>
      </c>
      <c r="I2189">
        <v>29</v>
      </c>
      <c r="J2189"/>
      <c r="K2189"/>
      <c r="L2189"/>
      <c r="M2189"/>
      <c r="N2189"/>
      <c r="O2189"/>
      <c r="P2189"/>
      <c r="Q2189"/>
      <c r="R2189">
        <v>-3.38</v>
      </c>
      <c r="S2189"/>
      <c r="T2189">
        <v>3.8860000000000001</v>
      </c>
      <c r="U2189"/>
      <c r="V2189"/>
      <c r="W2189"/>
      <c r="X2189"/>
      <c r="Y2189"/>
      <c r="Z2189"/>
      <c r="AA2189"/>
      <c r="AB2189"/>
      <c r="AC2189"/>
      <c r="AD2189"/>
      <c r="AE2189"/>
      <c r="AF2189"/>
      <c r="AG2189"/>
      <c r="AH2189"/>
      <c r="AI2189"/>
      <c r="AJ2189"/>
      <c r="AK2189"/>
      <c r="AL2189"/>
      <c r="AM2189"/>
      <c r="AN2189"/>
      <c r="AO2189"/>
      <c r="AP2189"/>
      <c r="AQ2189"/>
      <c r="AR2189"/>
      <c r="AS2189"/>
      <c r="AT2189"/>
      <c r="AU2189"/>
    </row>
    <row r="2190" spans="1:47" ht="18" customHeight="1" x14ac:dyDescent="0.35">
      <c r="A2190">
        <f>MATCH(B2190,STUDIES!$A$3:$A$502,0)</f>
        <v>93</v>
      </c>
      <c r="B2190" t="s">
        <v>1796</v>
      </c>
      <c r="C2190" s="456"/>
      <c r="D2190" t="s">
        <v>1801</v>
      </c>
      <c r="E2190" t="s">
        <v>154</v>
      </c>
      <c r="F2190" s="456" t="str">
        <f>_xlfn.XLOOKUP(B2190,STUDIES!$A$3:$A$1063,STUDIES!$G$3:$G$1063,"Not Found!")</f>
        <v>A</v>
      </c>
      <c r="G2190" s="456" t="s">
        <v>147</v>
      </c>
      <c r="H2190">
        <v>16</v>
      </c>
      <c r="I2190">
        <v>29</v>
      </c>
      <c r="J2190"/>
      <c r="K2190"/>
      <c r="L2190"/>
      <c r="M2190"/>
      <c r="N2190"/>
      <c r="O2190"/>
      <c r="P2190"/>
      <c r="Q2190"/>
      <c r="R2190">
        <v>-5.93</v>
      </c>
      <c r="S2190"/>
      <c r="T2190">
        <v>5.12</v>
      </c>
      <c r="U2190"/>
      <c r="V2190"/>
      <c r="W2190"/>
      <c r="X2190"/>
      <c r="Y2190"/>
      <c r="Z2190"/>
      <c r="AA2190"/>
      <c r="AB2190"/>
      <c r="AC2190"/>
      <c r="AD2190"/>
      <c r="AE2190"/>
      <c r="AF2190"/>
      <c r="AG2190"/>
      <c r="AH2190"/>
      <c r="AI2190"/>
      <c r="AJ2190"/>
      <c r="AK2190"/>
      <c r="AL2190"/>
      <c r="AM2190"/>
      <c r="AN2190"/>
      <c r="AO2190"/>
      <c r="AP2190"/>
      <c r="AQ2190"/>
      <c r="AR2190"/>
      <c r="AS2190"/>
      <c r="AT2190"/>
      <c r="AU2190"/>
    </row>
    <row r="2191" spans="1:47" ht="18" customHeight="1" x14ac:dyDescent="0.35">
      <c r="A2191">
        <f>MATCH(B2191,STUDIES!$A$3:$A$502,0)</f>
        <v>93</v>
      </c>
      <c r="B2191" t="s">
        <v>1796</v>
      </c>
      <c r="C2191" s="456"/>
      <c r="D2191" t="s">
        <v>148</v>
      </c>
      <c r="E2191" t="s">
        <v>153</v>
      </c>
      <c r="F2191" s="456" t="str">
        <f>_xlfn.XLOOKUP(B2191,STUDIES!$A$3:$A$1063,STUDIES!$G$3:$G$1063,"Not Found!")</f>
        <v>A</v>
      </c>
      <c r="G2191" s="456" t="s">
        <v>147</v>
      </c>
      <c r="H2191">
        <v>16</v>
      </c>
      <c r="I2191">
        <v>29</v>
      </c>
      <c r="J2191"/>
      <c r="K2191"/>
      <c r="L2191"/>
      <c r="M2191"/>
      <c r="N2191"/>
      <c r="O2191"/>
      <c r="P2191"/>
      <c r="Q2191"/>
      <c r="R2191">
        <v>-5.76</v>
      </c>
      <c r="S2191"/>
      <c r="T2191">
        <v>5.68</v>
      </c>
      <c r="U2191"/>
      <c r="V2191"/>
      <c r="W2191"/>
      <c r="X2191"/>
      <c r="Y2191"/>
      <c r="Z2191"/>
      <c r="AA2191"/>
      <c r="AB2191"/>
      <c r="AC2191"/>
      <c r="AD2191"/>
      <c r="AE2191"/>
      <c r="AF2191"/>
      <c r="AG2191"/>
      <c r="AH2191"/>
      <c r="AI2191"/>
      <c r="AJ2191"/>
      <c r="AK2191"/>
      <c r="AL2191"/>
      <c r="AM2191"/>
      <c r="AN2191"/>
      <c r="AO2191"/>
      <c r="AP2191"/>
      <c r="AQ2191"/>
      <c r="AR2191"/>
      <c r="AS2191"/>
      <c r="AT2191"/>
      <c r="AU2191"/>
    </row>
    <row r="2192" spans="1:47" ht="18" customHeight="1" x14ac:dyDescent="0.35">
      <c r="A2192">
        <f>MATCH(B2192,STUDIES!$A$3:$A$502,0)</f>
        <v>93</v>
      </c>
      <c r="B2192" t="s">
        <v>1796</v>
      </c>
      <c r="C2192" s="456"/>
      <c r="D2192" t="s">
        <v>1800</v>
      </c>
      <c r="E2192" t="s">
        <v>153</v>
      </c>
      <c r="F2192" s="456" t="str">
        <f>_xlfn.XLOOKUP(B2192,STUDIES!$A$3:$A$1063,STUDIES!$G$3:$G$1063,"Not Found!")</f>
        <v>A</v>
      </c>
      <c r="G2192" s="456" t="s">
        <v>147</v>
      </c>
      <c r="H2192">
        <v>16</v>
      </c>
      <c r="I2192">
        <v>29</v>
      </c>
      <c r="J2192"/>
      <c r="K2192"/>
      <c r="L2192"/>
      <c r="M2192"/>
      <c r="N2192"/>
      <c r="O2192"/>
      <c r="P2192"/>
      <c r="Q2192"/>
      <c r="R2192">
        <v>-6</v>
      </c>
      <c r="S2192"/>
      <c r="T2192">
        <v>5.5419999999999998</v>
      </c>
      <c r="U2192"/>
      <c r="V2192"/>
      <c r="W2192"/>
      <c r="X2192"/>
      <c r="Y2192"/>
      <c r="Z2192"/>
      <c r="AA2192"/>
      <c r="AB2192"/>
      <c r="AC2192"/>
      <c r="AD2192"/>
      <c r="AE2192"/>
      <c r="AF2192"/>
      <c r="AG2192"/>
      <c r="AH2192"/>
      <c r="AI2192"/>
      <c r="AJ2192"/>
      <c r="AK2192"/>
      <c r="AL2192"/>
      <c r="AM2192"/>
      <c r="AN2192"/>
      <c r="AO2192"/>
      <c r="AP2192"/>
      <c r="AQ2192"/>
      <c r="AR2192"/>
      <c r="AS2192"/>
      <c r="AT2192"/>
      <c r="AU2192"/>
    </row>
    <row r="2193" spans="1:47" ht="18" customHeight="1" x14ac:dyDescent="0.35">
      <c r="A2193">
        <f>MATCH(B2193,STUDIES!$A$3:$A$502,0)</f>
        <v>93</v>
      </c>
      <c r="B2193" t="s">
        <v>1796</v>
      </c>
      <c r="C2193" s="456"/>
      <c r="D2193" t="s">
        <v>1801</v>
      </c>
      <c r="E2193" t="s">
        <v>153</v>
      </c>
      <c r="F2193" s="456" t="str">
        <f>_xlfn.XLOOKUP(B2193,STUDIES!$A$3:$A$1063,STUDIES!$G$3:$G$1063,"Not Found!")</f>
        <v>A</v>
      </c>
      <c r="G2193" s="456" t="s">
        <v>147</v>
      </c>
      <c r="H2193">
        <v>16</v>
      </c>
      <c r="I2193">
        <v>29</v>
      </c>
      <c r="J2193"/>
      <c r="K2193"/>
      <c r="L2193"/>
      <c r="M2193"/>
      <c r="N2193"/>
      <c r="O2193"/>
      <c r="P2193"/>
      <c r="Q2193"/>
      <c r="R2193">
        <v>-8.07</v>
      </c>
      <c r="S2193"/>
      <c r="T2193">
        <v>5.6180000000000003</v>
      </c>
      <c r="U2193"/>
      <c r="V2193"/>
      <c r="W2193"/>
      <c r="X2193"/>
      <c r="Y2193"/>
      <c r="Z2193"/>
      <c r="AA2193"/>
      <c r="AB2193"/>
      <c r="AC2193"/>
      <c r="AD2193"/>
      <c r="AE2193"/>
      <c r="AF2193"/>
      <c r="AG2193"/>
      <c r="AH2193"/>
      <c r="AI2193"/>
      <c r="AJ2193"/>
      <c r="AK2193"/>
      <c r="AL2193"/>
      <c r="AM2193"/>
      <c r="AN2193"/>
      <c r="AO2193"/>
      <c r="AP2193"/>
      <c r="AQ2193"/>
      <c r="AR2193"/>
      <c r="AS2193"/>
      <c r="AT2193"/>
      <c r="AU2193"/>
    </row>
    <row r="2194" spans="1:47" ht="18" customHeight="1" x14ac:dyDescent="0.35">
      <c r="A2194">
        <f>MATCH(B2194,STUDIES!$A$3:$A$502,0)</f>
        <v>93</v>
      </c>
      <c r="B2194" t="s">
        <v>1796</v>
      </c>
      <c r="C2194" s="456"/>
      <c r="D2194" t="s">
        <v>148</v>
      </c>
      <c r="E2194" t="s">
        <v>1163</v>
      </c>
      <c r="F2194" s="456" t="str">
        <f>_xlfn.XLOOKUP(B2194,STUDIES!$A$3:$A$1063,STUDIES!$G$3:$G$1063,"Not Found!")</f>
        <v>A</v>
      </c>
      <c r="G2194" s="456" t="s">
        <v>147</v>
      </c>
      <c r="H2194">
        <v>16</v>
      </c>
      <c r="I2194">
        <v>29</v>
      </c>
      <c r="J2194">
        <v>0</v>
      </c>
      <c r="K2194"/>
      <c r="L2194"/>
      <c r="M2194"/>
      <c r="N2194"/>
      <c r="O2194"/>
      <c r="P2194"/>
      <c r="Q2194"/>
      <c r="R2194"/>
      <c r="S2194"/>
      <c r="T2194"/>
      <c r="U2194"/>
      <c r="V2194"/>
      <c r="W2194"/>
      <c r="X2194"/>
      <c r="Y2194"/>
      <c r="Z2194"/>
      <c r="AA2194"/>
      <c r="AB2194"/>
      <c r="AC2194"/>
      <c r="AD2194"/>
      <c r="AE2194"/>
      <c r="AF2194"/>
      <c r="AG2194"/>
      <c r="AH2194"/>
      <c r="AI2194"/>
      <c r="AJ2194"/>
      <c r="AK2194"/>
      <c r="AL2194"/>
      <c r="AM2194"/>
      <c r="AN2194"/>
      <c r="AO2194"/>
      <c r="AP2194"/>
      <c r="AQ2194"/>
      <c r="AR2194"/>
      <c r="AS2194"/>
      <c r="AT2194"/>
      <c r="AU2194"/>
    </row>
    <row r="2195" spans="1:47" ht="18" customHeight="1" x14ac:dyDescent="0.35">
      <c r="A2195">
        <f>MATCH(B2195,STUDIES!$A$3:$A$502,0)</f>
        <v>93</v>
      </c>
      <c r="B2195" t="s">
        <v>1796</v>
      </c>
      <c r="C2195" s="456"/>
      <c r="D2195" t="s">
        <v>1800</v>
      </c>
      <c r="E2195" t="s">
        <v>1163</v>
      </c>
      <c r="F2195" s="456" t="str">
        <f>_xlfn.XLOOKUP(B2195,STUDIES!$A$3:$A$1063,STUDIES!$G$3:$G$1063,"Not Found!")</f>
        <v>A</v>
      </c>
      <c r="G2195" s="456" t="s">
        <v>147</v>
      </c>
      <c r="H2195">
        <v>16</v>
      </c>
      <c r="I2195">
        <v>29</v>
      </c>
      <c r="J2195">
        <v>0</v>
      </c>
      <c r="K2195"/>
      <c r="L2195"/>
      <c r="M2195"/>
      <c r="N2195"/>
      <c r="O2195"/>
      <c r="P2195"/>
      <c r="Q2195"/>
      <c r="R2195"/>
      <c r="S2195"/>
      <c r="T2195"/>
      <c r="U2195"/>
      <c r="V2195"/>
      <c r="W2195"/>
      <c r="X2195"/>
      <c r="Y2195"/>
      <c r="Z2195"/>
      <c r="AA2195"/>
      <c r="AB2195"/>
      <c r="AC2195"/>
      <c r="AD2195"/>
      <c r="AE2195"/>
      <c r="AF2195"/>
      <c r="AG2195"/>
      <c r="AH2195"/>
      <c r="AI2195"/>
      <c r="AJ2195"/>
      <c r="AK2195"/>
      <c r="AL2195"/>
      <c r="AM2195"/>
      <c r="AN2195"/>
      <c r="AO2195"/>
      <c r="AP2195"/>
      <c r="AQ2195"/>
      <c r="AR2195"/>
      <c r="AS2195"/>
      <c r="AT2195"/>
      <c r="AU2195"/>
    </row>
    <row r="2196" spans="1:47" ht="18" customHeight="1" x14ac:dyDescent="0.35">
      <c r="A2196">
        <f>MATCH(B2196,STUDIES!$A$3:$A$502,0)</f>
        <v>93</v>
      </c>
      <c r="B2196" t="s">
        <v>1796</v>
      </c>
      <c r="C2196" s="456"/>
      <c r="D2196" t="s">
        <v>1801</v>
      </c>
      <c r="E2196" t="s">
        <v>1163</v>
      </c>
      <c r="F2196" s="456" t="str">
        <f>_xlfn.XLOOKUP(B2196,STUDIES!$A$3:$A$1063,STUDIES!$G$3:$G$1063,"Not Found!")</f>
        <v>A</v>
      </c>
      <c r="G2196" s="456" t="s">
        <v>147</v>
      </c>
      <c r="H2196">
        <v>16</v>
      </c>
      <c r="I2196">
        <v>29</v>
      </c>
      <c r="J2196">
        <v>1</v>
      </c>
      <c r="K2196"/>
      <c r="L2196"/>
      <c r="M2196"/>
      <c r="N2196"/>
      <c r="O2196"/>
      <c r="P2196"/>
      <c r="Q2196"/>
      <c r="R2196"/>
      <c r="S2196"/>
      <c r="T2196"/>
      <c r="U2196"/>
      <c r="V2196"/>
      <c r="W2196"/>
      <c r="X2196"/>
      <c r="Y2196"/>
      <c r="Z2196"/>
      <c r="AA2196"/>
      <c r="AB2196"/>
      <c r="AC2196"/>
      <c r="AD2196"/>
      <c r="AE2196"/>
      <c r="AF2196"/>
      <c r="AG2196"/>
      <c r="AH2196"/>
      <c r="AI2196"/>
      <c r="AJ2196"/>
      <c r="AK2196"/>
      <c r="AL2196"/>
      <c r="AM2196"/>
      <c r="AN2196"/>
      <c r="AO2196"/>
      <c r="AP2196"/>
      <c r="AQ2196"/>
      <c r="AR2196"/>
      <c r="AS2196"/>
      <c r="AT2196"/>
      <c r="AU2196"/>
    </row>
    <row r="2197" spans="1:47" s="440" customFormat="1" ht="18" customHeight="1" x14ac:dyDescent="0.35">
      <c r="A2197">
        <f>MATCH(B2197,STUDIES!$A$3:$A$502,0)</f>
        <v>93</v>
      </c>
      <c r="B2197" t="s">
        <v>1796</v>
      </c>
      <c r="C2197" s="456"/>
      <c r="D2197" t="s">
        <v>148</v>
      </c>
      <c r="E2197" t="s">
        <v>1167</v>
      </c>
      <c r="F2197" s="456" t="str">
        <f>_xlfn.XLOOKUP(B2197,STUDIES!$A$3:$A$1063,STUDIES!$G$3:$G$1063,"Not Found!")</f>
        <v>A</v>
      </c>
      <c r="G2197" s="456" t="s">
        <v>147</v>
      </c>
      <c r="H2197">
        <v>16</v>
      </c>
      <c r="I2197">
        <v>29</v>
      </c>
      <c r="J2197">
        <v>2</v>
      </c>
      <c r="K2197"/>
      <c r="L2197"/>
      <c r="M2197"/>
      <c r="N2197"/>
      <c r="O2197"/>
      <c r="P2197"/>
      <c r="Q2197"/>
      <c r="R2197"/>
      <c r="S2197"/>
      <c r="T2197"/>
      <c r="U2197"/>
      <c r="V2197"/>
      <c r="W2197"/>
      <c r="X2197"/>
      <c r="Y2197"/>
      <c r="Z2197"/>
      <c r="AA2197"/>
      <c r="AB2197"/>
      <c r="AC2197"/>
      <c r="AD2197"/>
      <c r="AE2197"/>
      <c r="AF2197"/>
      <c r="AG2197"/>
      <c r="AH2197"/>
      <c r="AI2197"/>
      <c r="AJ2197"/>
      <c r="AK2197"/>
      <c r="AL2197"/>
      <c r="AM2197"/>
      <c r="AN2197"/>
      <c r="AO2197"/>
      <c r="AP2197"/>
      <c r="AQ2197"/>
      <c r="AR2197"/>
      <c r="AS2197"/>
      <c r="AT2197"/>
      <c r="AU2197"/>
    </row>
    <row r="2198" spans="1:47" s="440" customFormat="1" ht="18" customHeight="1" x14ac:dyDescent="0.35">
      <c r="A2198">
        <f>MATCH(B2198,STUDIES!$A$3:$A$502,0)</f>
        <v>93</v>
      </c>
      <c r="B2198" t="s">
        <v>1796</v>
      </c>
      <c r="C2198" s="456"/>
      <c r="D2198" t="s">
        <v>1800</v>
      </c>
      <c r="E2198" t="s">
        <v>1167</v>
      </c>
      <c r="F2198" s="456" t="str">
        <f>_xlfn.XLOOKUP(B2198,STUDIES!$A$3:$A$1063,STUDIES!$G$3:$G$1063,"Not Found!")</f>
        <v>A</v>
      </c>
      <c r="G2198" s="456" t="s">
        <v>147</v>
      </c>
      <c r="H2198">
        <v>16</v>
      </c>
      <c r="I2198">
        <v>29</v>
      </c>
      <c r="J2198">
        <v>0</v>
      </c>
      <c r="K2198"/>
      <c r="L2198"/>
      <c r="M2198"/>
      <c r="N2198"/>
      <c r="O2198"/>
      <c r="P2198"/>
      <c r="Q2198"/>
      <c r="R2198"/>
      <c r="S2198"/>
      <c r="T2198"/>
      <c r="U2198"/>
      <c r="V2198"/>
      <c r="W2198"/>
      <c r="X2198"/>
      <c r="Y2198"/>
      <c r="Z2198"/>
      <c r="AA2198"/>
      <c r="AB2198"/>
      <c r="AC2198"/>
      <c r="AD2198"/>
      <c r="AE2198"/>
      <c r="AF2198"/>
      <c r="AG2198"/>
      <c r="AH2198"/>
      <c r="AI2198"/>
      <c r="AJ2198"/>
      <c r="AK2198"/>
      <c r="AL2198"/>
      <c r="AM2198"/>
      <c r="AN2198"/>
      <c r="AO2198"/>
      <c r="AP2198"/>
      <c r="AQ2198"/>
      <c r="AR2198"/>
      <c r="AS2198"/>
      <c r="AT2198"/>
      <c r="AU2198"/>
    </row>
    <row r="2199" spans="1:47" s="440" customFormat="1" ht="18" customHeight="1" x14ac:dyDescent="0.35">
      <c r="A2199">
        <f>MATCH(B2199,STUDIES!$A$3:$A$502,0)</f>
        <v>93</v>
      </c>
      <c r="B2199" t="s">
        <v>1796</v>
      </c>
      <c r="C2199" s="456"/>
      <c r="D2199" t="s">
        <v>1801</v>
      </c>
      <c r="E2199" t="s">
        <v>1167</v>
      </c>
      <c r="F2199" s="456" t="str">
        <f>_xlfn.XLOOKUP(B2199,STUDIES!$A$3:$A$1063,STUDIES!$G$3:$G$1063,"Not Found!")</f>
        <v>A</v>
      </c>
      <c r="G2199" s="456" t="s">
        <v>147</v>
      </c>
      <c r="H2199">
        <v>16</v>
      </c>
      <c r="I2199">
        <v>29</v>
      </c>
      <c r="J2199">
        <v>0</v>
      </c>
      <c r="K2199"/>
      <c r="L2199"/>
      <c r="M2199"/>
      <c r="N2199"/>
      <c r="O2199"/>
      <c r="P2199"/>
      <c r="Q2199"/>
      <c r="R2199"/>
      <c r="S2199"/>
      <c r="T2199"/>
      <c r="U2199"/>
      <c r="V2199"/>
      <c r="W2199"/>
      <c r="X2199"/>
      <c r="Y2199"/>
      <c r="Z2199"/>
      <c r="AA2199"/>
      <c r="AB2199"/>
      <c r="AC2199"/>
      <c r="AD2199"/>
      <c r="AE2199"/>
      <c r="AF2199"/>
      <c r="AG2199"/>
      <c r="AH2199"/>
      <c r="AI2199"/>
      <c r="AJ2199"/>
      <c r="AK2199"/>
      <c r="AL2199"/>
      <c r="AM2199"/>
      <c r="AN2199"/>
      <c r="AO2199"/>
      <c r="AP2199"/>
      <c r="AQ2199"/>
      <c r="AR2199"/>
      <c r="AS2199"/>
      <c r="AT2199"/>
      <c r="AU2199"/>
    </row>
    <row r="2200" spans="1:47" s="440" customFormat="1" ht="18" customHeight="1" x14ac:dyDescent="0.35">
      <c r="A2200">
        <f>MATCH(B2200,STUDIES!$A$3:$A$502,0)</f>
        <v>94</v>
      </c>
      <c r="B2200" t="s">
        <v>1877</v>
      </c>
      <c r="C2200" s="456"/>
      <c r="D2200" t="s">
        <v>2059</v>
      </c>
      <c r="E2200" t="s">
        <v>151</v>
      </c>
      <c r="F2200" s="456" t="str">
        <f>_xlfn.XLOOKUP(B2200,STUDIES!$A$3:$A$1063,STUDIES!$G$3:$G$1063,"Not Found!")</f>
        <v>A</v>
      </c>
      <c r="G2200" s="456" t="s">
        <v>147</v>
      </c>
      <c r="H2200">
        <v>16</v>
      </c>
      <c r="I2200">
        <v>57</v>
      </c>
      <c r="J2200"/>
      <c r="K2200">
        <v>24.61</v>
      </c>
      <c r="L2200"/>
      <c r="M2200">
        <v>10.471</v>
      </c>
      <c r="N2200"/>
      <c r="O2200"/>
      <c r="P2200"/>
      <c r="Q2200"/>
      <c r="R2200"/>
      <c r="S2200"/>
      <c r="T2200"/>
      <c r="U2200"/>
      <c r="V2200"/>
      <c r="W2200"/>
      <c r="X2200"/>
      <c r="Y2200"/>
      <c r="Z2200"/>
      <c r="AA2200"/>
      <c r="AB2200"/>
      <c r="AC2200"/>
      <c r="AD2200"/>
      <c r="AE2200"/>
      <c r="AF2200"/>
      <c r="AG2200"/>
      <c r="AH2200"/>
      <c r="AI2200"/>
      <c r="AJ2200">
        <v>-57.56</v>
      </c>
      <c r="AK2200">
        <v>4.6100000000000003</v>
      </c>
      <c r="AL2200"/>
      <c r="AM2200"/>
      <c r="AN2200"/>
      <c r="AO2200"/>
      <c r="AP2200"/>
      <c r="AQ2200"/>
      <c r="AR2200"/>
      <c r="AS2200"/>
      <c r="AT2200"/>
      <c r="AU2200"/>
    </row>
    <row r="2201" spans="1:47" s="440" customFormat="1" ht="18" customHeight="1" x14ac:dyDescent="0.35">
      <c r="A2201">
        <f>MATCH(B2201,STUDIES!$A$3:$A$502,0)</f>
        <v>94</v>
      </c>
      <c r="B2201" t="s">
        <v>1877</v>
      </c>
      <c r="C2201" s="456"/>
      <c r="D2201" t="s">
        <v>2060</v>
      </c>
      <c r="E2201" t="s">
        <v>151</v>
      </c>
      <c r="F2201" s="456" t="str">
        <f>_xlfn.XLOOKUP(B2201,STUDIES!$A$3:$A$1063,STUDIES!$G$3:$G$1063,"Not Found!")</f>
        <v>A</v>
      </c>
      <c r="G2201" s="456" t="s">
        <v>147</v>
      </c>
      <c r="H2201">
        <v>16</v>
      </c>
      <c r="I2201">
        <v>57</v>
      </c>
      <c r="J2201"/>
      <c r="K2201">
        <v>27.57</v>
      </c>
      <c r="L2201"/>
      <c r="M2201">
        <v>11.776</v>
      </c>
      <c r="N2201"/>
      <c r="O2201"/>
      <c r="P2201"/>
      <c r="Q2201"/>
      <c r="R2201"/>
      <c r="S2201"/>
      <c r="T2201"/>
      <c r="U2201"/>
      <c r="V2201"/>
      <c r="W2201"/>
      <c r="X2201"/>
      <c r="Y2201"/>
      <c r="Z2201"/>
      <c r="AA2201"/>
      <c r="AB2201"/>
      <c r="AC2201"/>
      <c r="AD2201"/>
      <c r="AE2201"/>
      <c r="AF2201"/>
      <c r="AG2201"/>
      <c r="AH2201"/>
      <c r="AI2201"/>
      <c r="AJ2201">
        <v>-63.03</v>
      </c>
      <c r="AK2201">
        <v>4.9610000000000003</v>
      </c>
      <c r="AL2201"/>
      <c r="AM2201"/>
      <c r="AN2201"/>
      <c r="AO2201"/>
      <c r="AP2201"/>
      <c r="AQ2201"/>
      <c r="AR2201"/>
      <c r="AS2201"/>
      <c r="AT2201"/>
      <c r="AU2201"/>
    </row>
    <row r="2202" spans="1:47" s="440" customFormat="1" ht="18" customHeight="1" x14ac:dyDescent="0.35">
      <c r="A2202">
        <f>MATCH(B2202,STUDIES!$A$3:$A$502,0)</f>
        <v>94</v>
      </c>
      <c r="B2202" t="s">
        <v>1877</v>
      </c>
      <c r="C2202" s="456"/>
      <c r="D2202" t="s">
        <v>2061</v>
      </c>
      <c r="E2202" t="s">
        <v>151</v>
      </c>
      <c r="F2202" s="456" t="str">
        <f>_xlfn.XLOOKUP(B2202,STUDIES!$A$3:$A$1063,STUDIES!$G$3:$G$1063,"Not Found!")</f>
        <v>A</v>
      </c>
      <c r="G2202" s="456" t="s">
        <v>147</v>
      </c>
      <c r="H2202">
        <v>16</v>
      </c>
      <c r="I2202">
        <v>56</v>
      </c>
      <c r="J2202"/>
      <c r="K2202">
        <v>23.08</v>
      </c>
      <c r="L2202"/>
      <c r="M2202">
        <v>8.218</v>
      </c>
      <c r="N2202"/>
      <c r="O2202"/>
      <c r="P2202"/>
      <c r="Q2202"/>
      <c r="R2202"/>
      <c r="S2202"/>
      <c r="T2202"/>
      <c r="U2202"/>
      <c r="V2202"/>
      <c r="W2202"/>
      <c r="X2202"/>
      <c r="Y2202"/>
      <c r="Z2202"/>
      <c r="AA2202"/>
      <c r="AB2202"/>
      <c r="AC2202"/>
      <c r="AD2202"/>
      <c r="AE2202"/>
      <c r="AF2202"/>
      <c r="AG2202"/>
      <c r="AH2202"/>
      <c r="AI2202"/>
      <c r="AJ2202">
        <v>-63.5</v>
      </c>
      <c r="AK2202">
        <v>4.6609999999999996</v>
      </c>
      <c r="AL2202"/>
      <c r="AM2202"/>
      <c r="AN2202"/>
      <c r="AO2202"/>
      <c r="AP2202"/>
      <c r="AQ2202"/>
      <c r="AR2202"/>
      <c r="AS2202"/>
      <c r="AT2202"/>
      <c r="AU2202"/>
    </row>
    <row r="2203" spans="1:47" s="440" customFormat="1" ht="18" customHeight="1" x14ac:dyDescent="0.35">
      <c r="A2203">
        <f>MATCH(B2203,STUDIES!$A$3:$A$502,0)</f>
        <v>94</v>
      </c>
      <c r="B2203" t="s">
        <v>1877</v>
      </c>
      <c r="C2203" s="456"/>
      <c r="D2203" t="s">
        <v>148</v>
      </c>
      <c r="E2203" t="s">
        <v>151</v>
      </c>
      <c r="F2203" s="456" t="str">
        <f>_xlfn.XLOOKUP(B2203,STUDIES!$A$3:$A$1063,STUDIES!$G$3:$G$1063,"Not Found!")</f>
        <v>A</v>
      </c>
      <c r="G2203" s="456" t="s">
        <v>147</v>
      </c>
      <c r="H2203">
        <v>16</v>
      </c>
      <c r="I2203">
        <v>56</v>
      </c>
      <c r="J2203"/>
      <c r="K2203">
        <v>25.16</v>
      </c>
      <c r="L2203"/>
      <c r="M2203">
        <v>9.0210000000000008</v>
      </c>
      <c r="N2203"/>
      <c r="O2203"/>
      <c r="P2203"/>
      <c r="Q2203"/>
      <c r="R2203"/>
      <c r="S2203"/>
      <c r="T2203"/>
      <c r="U2203"/>
      <c r="V2203"/>
      <c r="W2203"/>
      <c r="X2203"/>
      <c r="Y2203"/>
      <c r="Z2203"/>
      <c r="AA2203"/>
      <c r="AB2203"/>
      <c r="AC2203"/>
      <c r="AD2203"/>
      <c r="AE2203"/>
      <c r="AF2203"/>
      <c r="AG2203"/>
      <c r="AH2203"/>
      <c r="AI2203"/>
      <c r="AJ2203">
        <v>-39.67</v>
      </c>
      <c r="AK2203">
        <v>4.6379999999999999</v>
      </c>
      <c r="AL2203"/>
      <c r="AM2203"/>
      <c r="AN2203"/>
      <c r="AO2203"/>
      <c r="AP2203"/>
      <c r="AQ2203"/>
      <c r="AR2203"/>
      <c r="AS2203"/>
      <c r="AT2203"/>
      <c r="AU2203"/>
    </row>
    <row r="2204" spans="1:47" ht="18" customHeight="1" x14ac:dyDescent="0.35">
      <c r="A2204">
        <f>MATCH(B2204,STUDIES!$A$3:$A$502,0)</f>
        <v>94</v>
      </c>
      <c r="B2204" t="s">
        <v>1877</v>
      </c>
      <c r="C2204" s="456"/>
      <c r="D2204" t="s">
        <v>2059</v>
      </c>
      <c r="E2204" t="s">
        <v>1268</v>
      </c>
      <c r="F2204" s="456" t="str">
        <f>_xlfn.XLOOKUP(B2204,STUDIES!$A$3:$A$1063,STUDIES!$G$3:$G$1063,"Not Found!")</f>
        <v>A</v>
      </c>
      <c r="G2204" s="456" t="s">
        <v>147</v>
      </c>
      <c r="H2204">
        <v>16</v>
      </c>
      <c r="I2204">
        <v>57</v>
      </c>
      <c r="J2204">
        <v>9</v>
      </c>
      <c r="K2204"/>
      <c r="L2204"/>
      <c r="M2204"/>
      <c r="N2204"/>
      <c r="O2204"/>
      <c r="P2204"/>
      <c r="Q2204"/>
      <c r="R2204"/>
      <c r="S2204"/>
      <c r="T2204"/>
      <c r="U2204"/>
      <c r="V2204"/>
      <c r="W2204"/>
      <c r="X2204"/>
      <c r="Y2204"/>
      <c r="Z2204"/>
      <c r="AA2204"/>
      <c r="AB2204"/>
      <c r="AC2204"/>
      <c r="AD2204"/>
      <c r="AE2204"/>
      <c r="AF2204"/>
      <c r="AG2204"/>
      <c r="AH2204"/>
      <c r="AI2204"/>
      <c r="AJ2204"/>
      <c r="AK2204"/>
      <c r="AL2204"/>
      <c r="AM2204"/>
      <c r="AN2204"/>
      <c r="AO2204"/>
      <c r="AP2204"/>
      <c r="AQ2204"/>
      <c r="AR2204"/>
      <c r="AS2204"/>
      <c r="AT2204"/>
      <c r="AU2204"/>
    </row>
    <row r="2205" spans="1:47" ht="18" customHeight="1" x14ac:dyDescent="0.35">
      <c r="A2205">
        <f>MATCH(B2205,STUDIES!$A$3:$A$502,0)</f>
        <v>94</v>
      </c>
      <c r="B2205" t="s">
        <v>1877</v>
      </c>
      <c r="C2205" s="456"/>
      <c r="D2205" t="s">
        <v>2060</v>
      </c>
      <c r="E2205" t="s">
        <v>1268</v>
      </c>
      <c r="F2205" s="456" t="str">
        <f>_xlfn.XLOOKUP(B2205,STUDIES!$A$3:$A$1063,STUDIES!$G$3:$G$1063,"Not Found!")</f>
        <v>A</v>
      </c>
      <c r="G2205" s="456" t="s">
        <v>147</v>
      </c>
      <c r="H2205">
        <v>16</v>
      </c>
      <c r="I2205">
        <v>57</v>
      </c>
      <c r="J2205">
        <v>16</v>
      </c>
      <c r="K2205"/>
      <c r="L2205"/>
      <c r="M2205"/>
      <c r="N2205"/>
      <c r="O2205"/>
      <c r="P2205"/>
      <c r="Q2205"/>
      <c r="R2205"/>
      <c r="S2205"/>
      <c r="T2205"/>
      <c r="U2205"/>
      <c r="V2205"/>
      <c r="W2205"/>
      <c r="X2205"/>
      <c r="Y2205"/>
      <c r="Z2205"/>
      <c r="AA2205"/>
      <c r="AB2205"/>
      <c r="AC2205"/>
      <c r="AD2205"/>
      <c r="AE2205"/>
      <c r="AF2205"/>
      <c r="AG2205"/>
      <c r="AH2205"/>
      <c r="AI2205"/>
      <c r="AJ2205"/>
      <c r="AK2205"/>
      <c r="AL2205"/>
      <c r="AM2205"/>
      <c r="AN2205"/>
      <c r="AO2205"/>
      <c r="AP2205"/>
      <c r="AQ2205"/>
      <c r="AR2205"/>
      <c r="AS2205"/>
      <c r="AT2205"/>
      <c r="AU2205"/>
    </row>
    <row r="2206" spans="1:47" ht="18" customHeight="1" x14ac:dyDescent="0.35">
      <c r="A2206">
        <f>MATCH(B2206,STUDIES!$A$3:$A$502,0)</f>
        <v>94</v>
      </c>
      <c r="B2206" t="s">
        <v>1877</v>
      </c>
      <c r="C2206" s="456"/>
      <c r="D2206" t="s">
        <v>2061</v>
      </c>
      <c r="E2206" t="s">
        <v>1268</v>
      </c>
      <c r="F2206" s="456" t="str">
        <f>_xlfn.XLOOKUP(B2206,STUDIES!$A$3:$A$1063,STUDIES!$G$3:$G$1063,"Not Found!")</f>
        <v>A</v>
      </c>
      <c r="G2206" s="456" t="s">
        <v>147</v>
      </c>
      <c r="H2206">
        <v>16</v>
      </c>
      <c r="I2206">
        <v>56</v>
      </c>
      <c r="J2206">
        <v>11</v>
      </c>
      <c r="K2206"/>
      <c r="L2206"/>
      <c r="M2206"/>
      <c r="N2206"/>
      <c r="O2206"/>
      <c r="P2206"/>
      <c r="Q2206"/>
      <c r="R2206"/>
      <c r="S2206"/>
      <c r="T2206"/>
      <c r="U2206"/>
      <c r="V2206"/>
      <c r="W2206"/>
      <c r="X2206"/>
      <c r="Y2206"/>
      <c r="Z2206"/>
      <c r="AA2206"/>
      <c r="AB2206"/>
      <c r="AC2206"/>
      <c r="AD2206"/>
      <c r="AE2206"/>
      <c r="AF2206"/>
      <c r="AG2206"/>
      <c r="AH2206"/>
      <c r="AI2206"/>
      <c r="AJ2206"/>
      <c r="AK2206"/>
      <c r="AL2206"/>
      <c r="AM2206"/>
      <c r="AN2206"/>
      <c r="AO2206"/>
      <c r="AP2206"/>
      <c r="AQ2206"/>
      <c r="AR2206"/>
      <c r="AS2206"/>
      <c r="AT2206"/>
      <c r="AU2206"/>
    </row>
    <row r="2207" spans="1:47" ht="18" customHeight="1" x14ac:dyDescent="0.35">
      <c r="A2207">
        <f>MATCH(B2207,STUDIES!$A$3:$A$502,0)</f>
        <v>94</v>
      </c>
      <c r="B2207" t="s">
        <v>1877</v>
      </c>
      <c r="C2207" s="456"/>
      <c r="D2207" t="s">
        <v>148</v>
      </c>
      <c r="E2207" t="s">
        <v>1268</v>
      </c>
      <c r="F2207" s="456" t="str">
        <f>_xlfn.XLOOKUP(B2207,STUDIES!$A$3:$A$1063,STUDIES!$G$3:$G$1063,"Not Found!")</f>
        <v>A</v>
      </c>
      <c r="G2207" s="456" t="s">
        <v>147</v>
      </c>
      <c r="H2207">
        <v>16</v>
      </c>
      <c r="I2207">
        <v>56</v>
      </c>
      <c r="J2207">
        <v>5</v>
      </c>
      <c r="K2207"/>
      <c r="L2207"/>
      <c r="M2207"/>
      <c r="N2207"/>
      <c r="O2207"/>
      <c r="P2207"/>
      <c r="Q2207"/>
      <c r="R2207"/>
      <c r="S2207"/>
      <c r="T2207"/>
      <c r="U2207"/>
      <c r="V2207"/>
      <c r="W2207"/>
      <c r="X2207"/>
      <c r="Y2207"/>
      <c r="Z2207"/>
      <c r="AA2207"/>
      <c r="AB2207"/>
      <c r="AC2207"/>
      <c r="AD2207"/>
      <c r="AE2207"/>
      <c r="AF2207"/>
      <c r="AG2207"/>
      <c r="AH2207"/>
      <c r="AI2207"/>
      <c r="AJ2207"/>
      <c r="AK2207"/>
      <c r="AL2207"/>
      <c r="AM2207"/>
      <c r="AN2207"/>
      <c r="AO2207"/>
      <c r="AP2207"/>
      <c r="AQ2207"/>
      <c r="AR2207"/>
      <c r="AS2207"/>
      <c r="AT2207"/>
      <c r="AU2207"/>
    </row>
    <row r="2208" spans="1:47" ht="18" customHeight="1" x14ac:dyDescent="0.35">
      <c r="A2208">
        <f>MATCH(B2208,STUDIES!$A$3:$A$502,0)</f>
        <v>94</v>
      </c>
      <c r="B2208" t="s">
        <v>1877</v>
      </c>
      <c r="C2208" s="456"/>
      <c r="D2208" t="s">
        <v>2059</v>
      </c>
      <c r="E2208" t="s">
        <v>1163</v>
      </c>
      <c r="F2208" s="456" t="str">
        <f>_xlfn.XLOOKUP(B2208,STUDIES!$A$3:$A$1063,STUDIES!$G$3:$G$1063,"Not Found!")</f>
        <v>A</v>
      </c>
      <c r="G2208" s="456" t="s">
        <v>147</v>
      </c>
      <c r="H2208">
        <v>16</v>
      </c>
      <c r="I2208">
        <v>57</v>
      </c>
      <c r="J2208">
        <v>1</v>
      </c>
      <c r="K2208"/>
      <c r="L2208"/>
      <c r="M2208"/>
      <c r="N2208"/>
      <c r="O2208"/>
      <c r="P2208"/>
      <c r="Q2208"/>
      <c r="R2208"/>
      <c r="S2208"/>
      <c r="T2208"/>
      <c r="U2208"/>
      <c r="V2208"/>
      <c r="W2208"/>
      <c r="X2208"/>
      <c r="Y2208"/>
      <c r="Z2208"/>
      <c r="AA2208"/>
      <c r="AB2208"/>
      <c r="AC2208"/>
      <c r="AD2208"/>
      <c r="AE2208"/>
      <c r="AF2208"/>
      <c r="AG2208"/>
      <c r="AH2208"/>
      <c r="AI2208"/>
      <c r="AJ2208"/>
      <c r="AK2208"/>
      <c r="AL2208"/>
      <c r="AM2208"/>
      <c r="AN2208"/>
      <c r="AO2208"/>
      <c r="AP2208"/>
      <c r="AQ2208"/>
      <c r="AR2208"/>
      <c r="AS2208"/>
      <c r="AT2208"/>
      <c r="AU2208"/>
    </row>
    <row r="2209" spans="1:47" ht="18" customHeight="1" x14ac:dyDescent="0.35">
      <c r="A2209">
        <f>MATCH(B2209,STUDIES!$A$3:$A$502,0)</f>
        <v>94</v>
      </c>
      <c r="B2209" t="s">
        <v>1877</v>
      </c>
      <c r="C2209" s="456"/>
      <c r="D2209" t="s">
        <v>2060</v>
      </c>
      <c r="E2209" t="s">
        <v>1163</v>
      </c>
      <c r="F2209" s="456" t="str">
        <f>_xlfn.XLOOKUP(B2209,STUDIES!$A$3:$A$1063,STUDIES!$G$3:$G$1063,"Not Found!")</f>
        <v>A</v>
      </c>
      <c r="G2209" s="456" t="s">
        <v>147</v>
      </c>
      <c r="H2209">
        <v>16</v>
      </c>
      <c r="I2209">
        <v>57</v>
      </c>
      <c r="J2209">
        <v>0</v>
      </c>
      <c r="K2209"/>
      <c r="L2209"/>
      <c r="M2209"/>
      <c r="N2209"/>
      <c r="O2209"/>
      <c r="P2209"/>
      <c r="Q2209"/>
      <c r="R2209"/>
      <c r="S2209"/>
      <c r="T2209"/>
      <c r="U2209"/>
      <c r="V2209"/>
      <c r="W2209"/>
      <c r="X2209"/>
      <c r="Y2209"/>
      <c r="Z2209"/>
      <c r="AA2209"/>
      <c r="AB2209"/>
      <c r="AC2209"/>
      <c r="AD2209"/>
      <c r="AE2209"/>
      <c r="AF2209"/>
      <c r="AG2209"/>
      <c r="AH2209"/>
      <c r="AI2209"/>
      <c r="AJ2209"/>
      <c r="AK2209"/>
      <c r="AL2209"/>
      <c r="AM2209"/>
      <c r="AN2209"/>
      <c r="AO2209"/>
      <c r="AP2209"/>
      <c r="AQ2209"/>
      <c r="AR2209"/>
      <c r="AS2209"/>
      <c r="AT2209"/>
      <c r="AU2209"/>
    </row>
    <row r="2210" spans="1:47" ht="18" customHeight="1" x14ac:dyDescent="0.35">
      <c r="A2210">
        <f>MATCH(B2210,STUDIES!$A$3:$A$502,0)</f>
        <v>94</v>
      </c>
      <c r="B2210" t="s">
        <v>1877</v>
      </c>
      <c r="C2210" s="456"/>
      <c r="D2210" t="s">
        <v>2061</v>
      </c>
      <c r="E2210" t="s">
        <v>1163</v>
      </c>
      <c r="F2210" s="456" t="str">
        <f>_xlfn.XLOOKUP(B2210,STUDIES!$A$3:$A$1063,STUDIES!$G$3:$G$1063,"Not Found!")</f>
        <v>A</v>
      </c>
      <c r="G2210" s="456" t="s">
        <v>147</v>
      </c>
      <c r="H2210">
        <v>16</v>
      </c>
      <c r="I2210">
        <v>56</v>
      </c>
      <c r="J2210">
        <v>2</v>
      </c>
      <c r="K2210"/>
      <c r="L2210"/>
      <c r="M2210"/>
      <c r="N2210"/>
      <c r="O2210"/>
      <c r="P2210"/>
      <c r="Q2210"/>
      <c r="R2210"/>
      <c r="S2210"/>
      <c r="T2210"/>
      <c r="U2210"/>
      <c r="V2210"/>
      <c r="W2210"/>
      <c r="X2210"/>
      <c r="Y2210"/>
      <c r="Z2210"/>
      <c r="AA2210"/>
      <c r="AB2210"/>
      <c r="AC2210"/>
      <c r="AD2210"/>
      <c r="AE2210"/>
      <c r="AF2210"/>
      <c r="AG2210"/>
      <c r="AH2210"/>
      <c r="AI2210"/>
      <c r="AJ2210"/>
      <c r="AK2210"/>
      <c r="AL2210"/>
      <c r="AM2210"/>
      <c r="AN2210"/>
      <c r="AO2210"/>
      <c r="AP2210"/>
      <c r="AQ2210"/>
      <c r="AR2210"/>
      <c r="AS2210"/>
      <c r="AT2210"/>
      <c r="AU2210"/>
    </row>
    <row r="2211" spans="1:47" ht="18" customHeight="1" x14ac:dyDescent="0.35">
      <c r="A2211">
        <f>MATCH(B2211,STUDIES!$A$3:$A$502,0)</f>
        <v>94</v>
      </c>
      <c r="B2211" t="s">
        <v>1877</v>
      </c>
      <c r="C2211" s="456"/>
      <c r="D2211" t="s">
        <v>148</v>
      </c>
      <c r="E2211" t="s">
        <v>1163</v>
      </c>
      <c r="F2211" s="456" t="str">
        <f>_xlfn.XLOOKUP(B2211,STUDIES!$A$3:$A$1063,STUDIES!$G$3:$G$1063,"Not Found!")</f>
        <v>A</v>
      </c>
      <c r="G2211" s="456" t="s">
        <v>147</v>
      </c>
      <c r="H2211">
        <v>16</v>
      </c>
      <c r="I2211">
        <v>56</v>
      </c>
      <c r="J2211">
        <v>2</v>
      </c>
      <c r="K2211"/>
      <c r="L2211"/>
      <c r="M2211"/>
      <c r="N2211"/>
      <c r="O2211"/>
      <c r="P2211"/>
      <c r="Q2211"/>
      <c r="R2211"/>
      <c r="S2211"/>
      <c r="T2211"/>
      <c r="U2211"/>
      <c r="V2211"/>
      <c r="W2211"/>
      <c r="X2211"/>
      <c r="Y2211"/>
      <c r="Z2211"/>
      <c r="AA2211"/>
      <c r="AB2211"/>
      <c r="AC2211"/>
      <c r="AD2211"/>
      <c r="AE2211"/>
      <c r="AF2211"/>
      <c r="AG2211"/>
      <c r="AH2211"/>
      <c r="AI2211"/>
      <c r="AJ2211"/>
      <c r="AK2211"/>
      <c r="AL2211"/>
      <c r="AM2211"/>
      <c r="AN2211"/>
      <c r="AO2211"/>
      <c r="AP2211"/>
      <c r="AQ2211"/>
      <c r="AR2211"/>
      <c r="AS2211"/>
      <c r="AT2211"/>
      <c r="AU2211"/>
    </row>
    <row r="2212" spans="1:47" s="440" customFormat="1" ht="18" customHeight="1" x14ac:dyDescent="0.35">
      <c r="A2212">
        <f>MATCH(B2212,STUDIES!$A$3:$A$502,0)</f>
        <v>94</v>
      </c>
      <c r="B2212" t="s">
        <v>1877</v>
      </c>
      <c r="C2212" s="456"/>
      <c r="D2212" t="s">
        <v>2059</v>
      </c>
      <c r="E2212" t="s">
        <v>1167</v>
      </c>
      <c r="F2212" s="456" t="str">
        <f>_xlfn.XLOOKUP(B2212,STUDIES!$A$3:$A$1063,STUDIES!$G$3:$G$1063,"Not Found!")</f>
        <v>A</v>
      </c>
      <c r="G2212" s="456" t="s">
        <v>147</v>
      </c>
      <c r="H2212">
        <v>16</v>
      </c>
      <c r="I2212">
        <v>57</v>
      </c>
      <c r="J2212">
        <v>1</v>
      </c>
      <c r="K2212"/>
      <c r="L2212"/>
      <c r="M2212"/>
      <c r="N2212"/>
      <c r="O2212"/>
      <c r="P2212"/>
      <c r="Q2212"/>
      <c r="R2212"/>
      <c r="S2212"/>
      <c r="T2212"/>
      <c r="U2212"/>
      <c r="V2212"/>
      <c r="W2212"/>
      <c r="X2212"/>
      <c r="Y2212"/>
      <c r="Z2212"/>
      <c r="AA2212"/>
      <c r="AB2212"/>
      <c r="AC2212"/>
      <c r="AD2212"/>
      <c r="AE2212"/>
      <c r="AF2212"/>
      <c r="AG2212"/>
      <c r="AH2212"/>
      <c r="AI2212"/>
      <c r="AJ2212"/>
      <c r="AK2212"/>
      <c r="AL2212"/>
      <c r="AM2212"/>
      <c r="AN2212"/>
      <c r="AO2212"/>
      <c r="AP2212"/>
      <c r="AQ2212"/>
      <c r="AR2212"/>
      <c r="AS2212"/>
      <c r="AT2212"/>
      <c r="AU2212"/>
    </row>
    <row r="2213" spans="1:47" s="440" customFormat="1" ht="18" customHeight="1" x14ac:dyDescent="0.35">
      <c r="A2213">
        <f>MATCH(B2213,STUDIES!$A$3:$A$502,0)</f>
        <v>94</v>
      </c>
      <c r="B2213" t="s">
        <v>1877</v>
      </c>
      <c r="C2213" s="456"/>
      <c r="D2213" t="s">
        <v>2060</v>
      </c>
      <c r="E2213" t="s">
        <v>1167</v>
      </c>
      <c r="F2213" s="456" t="str">
        <f>_xlfn.XLOOKUP(B2213,STUDIES!$A$3:$A$1063,STUDIES!$G$3:$G$1063,"Not Found!")</f>
        <v>A</v>
      </c>
      <c r="G2213" s="456" t="s">
        <v>147</v>
      </c>
      <c r="H2213">
        <v>16</v>
      </c>
      <c r="I2213">
        <v>57</v>
      </c>
      <c r="J2213">
        <v>0</v>
      </c>
      <c r="K2213"/>
      <c r="L2213"/>
      <c r="M2213"/>
      <c r="N2213"/>
      <c r="O2213"/>
      <c r="P2213"/>
      <c r="Q2213"/>
      <c r="R2213"/>
      <c r="S2213"/>
      <c r="T2213"/>
      <c r="U2213"/>
      <c r="V2213"/>
      <c r="W2213"/>
      <c r="X2213"/>
      <c r="Y2213"/>
      <c r="Z2213"/>
      <c r="AA2213"/>
      <c r="AB2213"/>
      <c r="AC2213"/>
      <c r="AD2213"/>
      <c r="AE2213"/>
      <c r="AF2213"/>
      <c r="AG2213"/>
      <c r="AH2213"/>
      <c r="AI2213"/>
      <c r="AJ2213"/>
      <c r="AK2213"/>
      <c r="AL2213"/>
      <c r="AM2213"/>
      <c r="AN2213"/>
      <c r="AO2213"/>
      <c r="AP2213"/>
      <c r="AQ2213"/>
      <c r="AR2213"/>
      <c r="AS2213"/>
      <c r="AT2213"/>
      <c r="AU2213"/>
    </row>
    <row r="2214" spans="1:47" s="440" customFormat="1" ht="18" customHeight="1" x14ac:dyDescent="0.35">
      <c r="A2214">
        <f>MATCH(B2214,STUDIES!$A$3:$A$502,0)</f>
        <v>94</v>
      </c>
      <c r="B2214" t="s">
        <v>1877</v>
      </c>
      <c r="C2214" s="456"/>
      <c r="D2214" t="s">
        <v>2061</v>
      </c>
      <c r="E2214" t="s">
        <v>1167</v>
      </c>
      <c r="F2214" s="456" t="str">
        <f>_xlfn.XLOOKUP(B2214,STUDIES!$A$3:$A$1063,STUDIES!$G$3:$G$1063,"Not Found!")</f>
        <v>A</v>
      </c>
      <c r="G2214" s="456" t="s">
        <v>147</v>
      </c>
      <c r="H2214">
        <v>16</v>
      </c>
      <c r="I2214">
        <v>56</v>
      </c>
      <c r="J2214">
        <v>0</v>
      </c>
      <c r="K2214"/>
      <c r="L2214"/>
      <c r="M2214"/>
      <c r="N2214"/>
      <c r="O2214"/>
      <c r="P2214"/>
      <c r="Q2214"/>
      <c r="R2214"/>
      <c r="S2214"/>
      <c r="T2214"/>
      <c r="U2214"/>
      <c r="V2214"/>
      <c r="W2214"/>
      <c r="X2214"/>
      <c r="Y2214"/>
      <c r="Z2214"/>
      <c r="AA2214"/>
      <c r="AB2214"/>
      <c r="AC2214"/>
      <c r="AD2214"/>
      <c r="AE2214"/>
      <c r="AF2214"/>
      <c r="AG2214"/>
      <c r="AH2214"/>
      <c r="AI2214"/>
      <c r="AJ2214"/>
      <c r="AK2214"/>
      <c r="AL2214"/>
      <c r="AM2214"/>
      <c r="AN2214"/>
      <c r="AO2214"/>
      <c r="AP2214"/>
      <c r="AQ2214"/>
      <c r="AR2214"/>
      <c r="AS2214"/>
      <c r="AT2214"/>
      <c r="AU2214"/>
    </row>
    <row r="2215" spans="1:47" s="440" customFormat="1" ht="18" customHeight="1" x14ac:dyDescent="0.35">
      <c r="A2215">
        <f>MATCH(B2215,STUDIES!$A$3:$A$502,0)</f>
        <v>94</v>
      </c>
      <c r="B2215" t="s">
        <v>1877</v>
      </c>
      <c r="C2215" s="456"/>
      <c r="D2215" t="s">
        <v>148</v>
      </c>
      <c r="E2215" t="s">
        <v>1167</v>
      </c>
      <c r="F2215" s="456" t="str">
        <f>_xlfn.XLOOKUP(B2215,STUDIES!$A$3:$A$1063,STUDIES!$G$3:$G$1063,"Not Found!")</f>
        <v>A</v>
      </c>
      <c r="G2215" s="456" t="s">
        <v>147</v>
      </c>
      <c r="H2215">
        <v>16</v>
      </c>
      <c r="I2215">
        <v>56</v>
      </c>
      <c r="J2215">
        <v>2</v>
      </c>
      <c r="K2215"/>
      <c r="L2215"/>
      <c r="M2215"/>
      <c r="N2215"/>
      <c r="O2215"/>
      <c r="P2215"/>
      <c r="Q2215"/>
      <c r="R2215"/>
      <c r="S2215"/>
      <c r="T2215"/>
      <c r="U2215"/>
      <c r="V2215"/>
      <c r="W2215"/>
      <c r="X2215"/>
      <c r="Y2215"/>
      <c r="Z2215"/>
      <c r="AA2215"/>
      <c r="AB2215"/>
      <c r="AC2215"/>
      <c r="AD2215"/>
      <c r="AE2215"/>
      <c r="AF2215"/>
      <c r="AG2215"/>
      <c r="AH2215"/>
      <c r="AI2215"/>
      <c r="AJ2215"/>
      <c r="AK2215"/>
      <c r="AL2215"/>
      <c r="AM2215"/>
      <c r="AN2215"/>
      <c r="AO2215"/>
      <c r="AP2215"/>
      <c r="AQ2215"/>
      <c r="AR2215"/>
      <c r="AS2215"/>
      <c r="AT2215"/>
      <c r="AU2215"/>
    </row>
    <row r="2216" spans="1:47" s="440" customFormat="1" ht="18" customHeight="1" x14ac:dyDescent="0.35">
      <c r="A2216">
        <f>MATCH(B2216,STUDIES!$A$3:$A$502,0)</f>
        <v>95</v>
      </c>
      <c r="B2216" t="s">
        <v>1812</v>
      </c>
      <c r="C2216" s="456"/>
      <c r="D2216" t="s">
        <v>1038</v>
      </c>
      <c r="E2216" t="s">
        <v>151</v>
      </c>
      <c r="F2216" s="456" t="str">
        <f>_xlfn.XLOOKUP(B2216,STUDIES!$A$3:$A$1063,STUDIES!$G$3:$G$1063,"Not Found!")</f>
        <v>A</v>
      </c>
      <c r="G2216" s="456" t="s">
        <v>147</v>
      </c>
      <c r="H2216">
        <v>24</v>
      </c>
      <c r="I2216">
        <v>21</v>
      </c>
      <c r="J2216"/>
      <c r="K2216">
        <v>32.69</v>
      </c>
      <c r="L2216"/>
      <c r="M2216">
        <v>11.77</v>
      </c>
      <c r="N2216"/>
      <c r="O2216"/>
      <c r="P2216"/>
      <c r="Q2216"/>
      <c r="R2216"/>
      <c r="S2216"/>
      <c r="T2216"/>
      <c r="U2216"/>
      <c r="V2216"/>
      <c r="W2216"/>
      <c r="X2216"/>
      <c r="Y2216"/>
      <c r="Z2216"/>
      <c r="AA2216"/>
      <c r="AB2216"/>
      <c r="AC2216"/>
      <c r="AD2216"/>
      <c r="AE2216"/>
      <c r="AF2216"/>
      <c r="AG2216"/>
      <c r="AH2216"/>
      <c r="AI2216"/>
      <c r="AJ2216">
        <v>-67.790000000000006</v>
      </c>
      <c r="AK2216"/>
      <c r="AL2216">
        <v>22.44</v>
      </c>
      <c r="AM2216"/>
      <c r="AN2216"/>
      <c r="AO2216"/>
      <c r="AP2216"/>
      <c r="AQ2216"/>
      <c r="AR2216"/>
      <c r="AS2216"/>
      <c r="AT2216"/>
      <c r="AU2216"/>
    </row>
    <row r="2217" spans="1:47" s="440" customFormat="1" ht="18" customHeight="1" x14ac:dyDescent="0.35">
      <c r="A2217">
        <f>MATCH(B2217,STUDIES!$A$3:$A$502,0)</f>
        <v>95</v>
      </c>
      <c r="B2217" t="s">
        <v>1812</v>
      </c>
      <c r="C2217" s="456"/>
      <c r="D2217" t="s">
        <v>1048</v>
      </c>
      <c r="E2217" t="s">
        <v>151</v>
      </c>
      <c r="F2217" s="456" t="str">
        <f>_xlfn.XLOOKUP(B2217,STUDIES!$A$3:$A$1063,STUDIES!$G$3:$G$1063,"Not Found!")</f>
        <v>A</v>
      </c>
      <c r="G2217" s="456"/>
      <c r="H2217">
        <v>24</v>
      </c>
      <c r="I2217">
        <v>23</v>
      </c>
      <c r="J2217"/>
      <c r="K2217">
        <v>32.909999999999997</v>
      </c>
      <c r="L2217"/>
      <c r="M2217">
        <v>11.51</v>
      </c>
      <c r="N2217"/>
      <c r="O2217"/>
      <c r="P2217"/>
      <c r="Q2217"/>
      <c r="R2217"/>
      <c r="S2217"/>
      <c r="T2217"/>
      <c r="U2217"/>
      <c r="V2217"/>
      <c r="W2217"/>
      <c r="X2217"/>
      <c r="Y2217"/>
      <c r="Z2217"/>
      <c r="AA2217"/>
      <c r="AB2217"/>
      <c r="AC2217"/>
      <c r="AD2217"/>
      <c r="AE2217"/>
      <c r="AF2217"/>
      <c r="AG2217"/>
      <c r="AH2217"/>
      <c r="AI2217"/>
      <c r="AJ2217">
        <v>-83.06</v>
      </c>
      <c r="AK2217"/>
      <c r="AL2217">
        <v>21.2</v>
      </c>
      <c r="AM2217"/>
      <c r="AN2217"/>
      <c r="AO2217"/>
      <c r="AP2217"/>
      <c r="AQ2217"/>
      <c r="AR2217"/>
      <c r="AS2217"/>
      <c r="AT2217"/>
      <c r="AU2217"/>
    </row>
    <row r="2218" spans="1:47" s="440" customFormat="1" ht="18" customHeight="1" x14ac:dyDescent="0.35">
      <c r="A2218">
        <f>MATCH(B2218,STUDIES!$A$3:$A$502,0)</f>
        <v>95</v>
      </c>
      <c r="B2218" t="s">
        <v>1812</v>
      </c>
      <c r="C2218" s="456"/>
      <c r="D2218" t="s">
        <v>1038</v>
      </c>
      <c r="E2218" t="s">
        <v>1243</v>
      </c>
      <c r="F2218" s="456" t="str">
        <f>_xlfn.XLOOKUP(B2218,STUDIES!$A$3:$A$1063,STUDIES!$G$3:$G$1063,"Not Found!")</f>
        <v>A</v>
      </c>
      <c r="G2218" s="456" t="s">
        <v>152</v>
      </c>
      <c r="H2218">
        <v>24</v>
      </c>
      <c r="I2218">
        <v>21</v>
      </c>
      <c r="J2218">
        <v>11</v>
      </c>
      <c r="K2218"/>
      <c r="L2218"/>
      <c r="M2218"/>
      <c r="N2218"/>
      <c r="O2218"/>
      <c r="P2218"/>
      <c r="Q2218"/>
      <c r="R2218"/>
      <c r="S2218"/>
      <c r="T2218"/>
      <c r="U2218"/>
      <c r="V2218"/>
      <c r="W2218"/>
      <c r="X2218"/>
      <c r="Y2218"/>
      <c r="Z2218"/>
      <c r="AA2218"/>
      <c r="AB2218"/>
      <c r="AC2218"/>
      <c r="AD2218"/>
      <c r="AE2218"/>
      <c r="AF2218"/>
      <c r="AG2218"/>
      <c r="AH2218"/>
      <c r="AI2218"/>
      <c r="AJ2218"/>
      <c r="AK2218"/>
      <c r="AL2218"/>
      <c r="AM2218"/>
      <c r="AN2218"/>
      <c r="AO2218"/>
      <c r="AP2218"/>
      <c r="AQ2218"/>
      <c r="AR2218"/>
      <c r="AS2218"/>
      <c r="AT2218"/>
      <c r="AU2218"/>
    </row>
    <row r="2219" spans="1:47" s="440" customFormat="1" ht="18" customHeight="1" x14ac:dyDescent="0.35">
      <c r="A2219">
        <f>MATCH(B2219,STUDIES!$A$3:$A$502,0)</f>
        <v>95</v>
      </c>
      <c r="B2219" t="s">
        <v>1812</v>
      </c>
      <c r="C2219" s="456"/>
      <c r="D2219" t="s">
        <v>1048</v>
      </c>
      <c r="E2219" t="s">
        <v>1243</v>
      </c>
      <c r="F2219" s="456" t="str">
        <f>_xlfn.XLOOKUP(B2219,STUDIES!$A$3:$A$1063,STUDIES!$G$3:$G$1063,"Not Found!")</f>
        <v>A</v>
      </c>
      <c r="G2219" s="456" t="s">
        <v>152</v>
      </c>
      <c r="H2219">
        <v>24</v>
      </c>
      <c r="I2219">
        <v>23</v>
      </c>
      <c r="J2219">
        <v>18</v>
      </c>
      <c r="K2219"/>
      <c r="L2219"/>
      <c r="M2219"/>
      <c r="N2219"/>
      <c r="O2219"/>
      <c r="P2219"/>
      <c r="Q2219"/>
      <c r="R2219"/>
      <c r="S2219"/>
      <c r="T2219"/>
      <c r="U2219"/>
      <c r="V2219"/>
      <c r="W2219"/>
      <c r="X2219"/>
      <c r="Y2219"/>
      <c r="Z2219"/>
      <c r="AA2219"/>
      <c r="AB2219"/>
      <c r="AC2219"/>
      <c r="AD2219"/>
      <c r="AE2219"/>
      <c r="AF2219"/>
      <c r="AG2219"/>
      <c r="AH2219"/>
      <c r="AI2219"/>
      <c r="AJ2219"/>
      <c r="AK2219"/>
      <c r="AL2219"/>
      <c r="AM2219"/>
      <c r="AN2219"/>
      <c r="AO2219"/>
      <c r="AP2219"/>
      <c r="AQ2219"/>
      <c r="AR2219"/>
      <c r="AS2219"/>
      <c r="AT2219"/>
      <c r="AU2219"/>
    </row>
    <row r="2220" spans="1:47" s="440" customFormat="1" ht="18" customHeight="1" x14ac:dyDescent="0.35">
      <c r="A2220">
        <f>MATCH(B2220,STUDIES!$A$3:$A$502,0)</f>
        <v>95</v>
      </c>
      <c r="B2220" t="s">
        <v>1812</v>
      </c>
      <c r="C2220" s="456"/>
      <c r="D2220" t="s">
        <v>1038</v>
      </c>
      <c r="E2220" t="s">
        <v>1244</v>
      </c>
      <c r="F2220" s="456" t="str">
        <f>_xlfn.XLOOKUP(B2220,STUDIES!$A$3:$A$1063,STUDIES!$G$3:$G$1063,"Not Found!")</f>
        <v>A</v>
      </c>
      <c r="G2220" s="456" t="s">
        <v>152</v>
      </c>
      <c r="H2220">
        <v>24</v>
      </c>
      <c r="I2220">
        <v>21</v>
      </c>
      <c r="J2220">
        <v>3</v>
      </c>
      <c r="K2220"/>
      <c r="L2220"/>
      <c r="M2220"/>
      <c r="N2220"/>
      <c r="O2220"/>
      <c r="P2220"/>
      <c r="Q2220"/>
      <c r="R2220"/>
      <c r="S2220"/>
      <c r="T2220"/>
      <c r="U2220"/>
      <c r="V2220"/>
      <c r="W2220"/>
      <c r="X2220"/>
      <c r="Y2220"/>
      <c r="Z2220"/>
      <c r="AA2220"/>
      <c r="AB2220"/>
      <c r="AC2220"/>
      <c r="AD2220"/>
      <c r="AE2220"/>
      <c r="AF2220"/>
      <c r="AG2220"/>
      <c r="AH2220"/>
      <c r="AI2220"/>
      <c r="AJ2220"/>
      <c r="AK2220"/>
      <c r="AL2220"/>
      <c r="AM2220"/>
      <c r="AN2220"/>
      <c r="AO2220"/>
      <c r="AP2220"/>
      <c r="AQ2220"/>
      <c r="AR2220"/>
      <c r="AS2220"/>
      <c r="AT2220"/>
      <c r="AU2220"/>
    </row>
    <row r="2221" spans="1:47" s="440" customFormat="1" ht="18" customHeight="1" x14ac:dyDescent="0.35">
      <c r="A2221">
        <f>MATCH(B2221,STUDIES!$A$3:$A$502,0)</f>
        <v>95</v>
      </c>
      <c r="B2221" t="s">
        <v>1812</v>
      </c>
      <c r="C2221" s="456"/>
      <c r="D2221" t="s">
        <v>1048</v>
      </c>
      <c r="E2221" t="s">
        <v>1244</v>
      </c>
      <c r="F2221" s="456" t="str">
        <f>_xlfn.XLOOKUP(B2221,STUDIES!$A$3:$A$1063,STUDIES!$G$3:$G$1063,"Not Found!")</f>
        <v>A</v>
      </c>
      <c r="G2221" s="456" t="s">
        <v>152</v>
      </c>
      <c r="H2221">
        <v>24</v>
      </c>
      <c r="I2221">
        <v>23</v>
      </c>
      <c r="J2221">
        <v>12</v>
      </c>
      <c r="K2221"/>
      <c r="L2221"/>
      <c r="M2221"/>
      <c r="N2221"/>
      <c r="O2221"/>
      <c r="P2221"/>
      <c r="Q2221"/>
      <c r="R2221"/>
      <c r="S2221"/>
      <c r="T2221"/>
      <c r="U2221"/>
      <c r="V2221"/>
      <c r="W2221"/>
      <c r="X2221"/>
      <c r="Y2221"/>
      <c r="Z2221"/>
      <c r="AA2221"/>
      <c r="AB2221"/>
      <c r="AC2221"/>
      <c r="AD2221"/>
      <c r="AE2221"/>
      <c r="AF2221"/>
      <c r="AG2221"/>
      <c r="AH2221"/>
      <c r="AI2221"/>
      <c r="AJ2221"/>
      <c r="AK2221"/>
      <c r="AL2221"/>
      <c r="AM2221"/>
      <c r="AN2221"/>
      <c r="AO2221"/>
      <c r="AP2221"/>
      <c r="AQ2221"/>
      <c r="AR2221"/>
      <c r="AS2221"/>
      <c r="AT2221"/>
      <c r="AU2221"/>
    </row>
    <row r="2222" spans="1:47" s="440" customFormat="1" ht="18" customHeight="1" x14ac:dyDescent="0.35">
      <c r="A2222">
        <f>MATCH(B2222,STUDIES!$A$3:$A$502,0)</f>
        <v>95</v>
      </c>
      <c r="B2222" t="s">
        <v>1812</v>
      </c>
      <c r="C2222" s="456"/>
      <c r="D2222" t="s">
        <v>1038</v>
      </c>
      <c r="E2222" t="s">
        <v>1268</v>
      </c>
      <c r="F2222" s="456" t="str">
        <f>_xlfn.XLOOKUP(B2222,STUDIES!$A$3:$A$1063,STUDIES!$G$3:$G$1063,"Not Found!")</f>
        <v>A</v>
      </c>
      <c r="G2222" s="456" t="s">
        <v>152</v>
      </c>
      <c r="H2222">
        <v>24</v>
      </c>
      <c r="I2222">
        <v>21</v>
      </c>
      <c r="J2222">
        <v>17</v>
      </c>
      <c r="K2222"/>
      <c r="L2222"/>
      <c r="M2222"/>
      <c r="N2222"/>
      <c r="O2222"/>
      <c r="P2222"/>
      <c r="Q2222"/>
      <c r="R2222"/>
      <c r="S2222"/>
      <c r="T2222"/>
      <c r="U2222"/>
      <c r="V2222"/>
      <c r="W2222"/>
      <c r="X2222"/>
      <c r="Y2222"/>
      <c r="Z2222"/>
      <c r="AA2222"/>
      <c r="AB2222"/>
      <c r="AC2222"/>
      <c r="AD2222"/>
      <c r="AE2222"/>
      <c r="AF2222"/>
      <c r="AG2222"/>
      <c r="AH2222"/>
      <c r="AI2222"/>
      <c r="AJ2222"/>
      <c r="AK2222"/>
      <c r="AL2222"/>
      <c r="AM2222"/>
      <c r="AN2222"/>
      <c r="AO2222"/>
      <c r="AP2222"/>
      <c r="AQ2222"/>
      <c r="AR2222"/>
      <c r="AS2222"/>
      <c r="AT2222"/>
      <c r="AU2222"/>
    </row>
    <row r="2223" spans="1:47" s="440" customFormat="1" ht="18" customHeight="1" x14ac:dyDescent="0.35">
      <c r="A2223">
        <f>MATCH(B2223,STUDIES!$A$3:$A$502,0)</f>
        <v>95</v>
      </c>
      <c r="B2223" t="s">
        <v>1812</v>
      </c>
      <c r="C2223" s="456"/>
      <c r="D2223" t="s">
        <v>1048</v>
      </c>
      <c r="E2223" t="s">
        <v>1268</v>
      </c>
      <c r="F2223" s="456" t="str">
        <f>_xlfn.XLOOKUP(B2223,STUDIES!$A$3:$A$1063,STUDIES!$G$3:$G$1063,"Not Found!")</f>
        <v>A</v>
      </c>
      <c r="G2223" s="456" t="s">
        <v>152</v>
      </c>
      <c r="H2223">
        <v>24</v>
      </c>
      <c r="I2223">
        <v>23</v>
      </c>
      <c r="J2223">
        <v>19</v>
      </c>
      <c r="K2223"/>
      <c r="L2223"/>
      <c r="M2223"/>
      <c r="N2223"/>
      <c r="O2223"/>
      <c r="P2223"/>
      <c r="Q2223"/>
      <c r="R2223"/>
      <c r="S2223"/>
      <c r="T2223"/>
      <c r="U2223"/>
      <c r="V2223"/>
      <c r="W2223"/>
      <c r="X2223"/>
      <c r="Y2223"/>
      <c r="Z2223"/>
      <c r="AA2223"/>
      <c r="AB2223"/>
      <c r="AC2223"/>
      <c r="AD2223"/>
      <c r="AE2223"/>
      <c r="AF2223"/>
      <c r="AG2223"/>
      <c r="AH2223"/>
      <c r="AI2223"/>
      <c r="AJ2223"/>
      <c r="AK2223"/>
      <c r="AL2223"/>
      <c r="AM2223"/>
      <c r="AN2223"/>
      <c r="AO2223"/>
      <c r="AP2223"/>
      <c r="AQ2223"/>
      <c r="AR2223"/>
      <c r="AS2223"/>
      <c r="AT2223"/>
      <c r="AU2223"/>
    </row>
    <row r="2224" spans="1:47" s="440" customFormat="1" ht="18" customHeight="1" x14ac:dyDescent="0.35">
      <c r="A2224">
        <f>MATCH(B2224,STUDIES!$A$3:$A$502,0)</f>
        <v>95</v>
      </c>
      <c r="B2224" t="s">
        <v>1812</v>
      </c>
      <c r="C2224" s="456"/>
      <c r="D2224" t="s">
        <v>1038</v>
      </c>
      <c r="E2224" t="s">
        <v>1167</v>
      </c>
      <c r="F2224" s="456" t="str">
        <f>_xlfn.XLOOKUP(B2224,STUDIES!$A$3:$A$1063,STUDIES!$G$3:$G$1063,"Not Found!")</f>
        <v>A</v>
      </c>
      <c r="G2224" s="456" t="s">
        <v>152</v>
      </c>
      <c r="H2224">
        <v>24</v>
      </c>
      <c r="I2224">
        <v>25</v>
      </c>
      <c r="J2224">
        <v>2</v>
      </c>
      <c r="K2224"/>
      <c r="L2224"/>
      <c r="M2224"/>
      <c r="N2224"/>
      <c r="O2224"/>
      <c r="P2224"/>
      <c r="Q2224"/>
      <c r="R2224"/>
      <c r="S2224"/>
      <c r="T2224"/>
      <c r="U2224"/>
      <c r="V2224"/>
      <c r="W2224"/>
      <c r="X2224"/>
      <c r="Y2224"/>
      <c r="Z2224"/>
      <c r="AA2224"/>
      <c r="AB2224"/>
      <c r="AC2224"/>
      <c r="AD2224"/>
      <c r="AE2224"/>
      <c r="AF2224"/>
      <c r="AG2224"/>
      <c r="AH2224"/>
      <c r="AI2224"/>
      <c r="AJ2224"/>
      <c r="AK2224"/>
      <c r="AL2224"/>
      <c r="AM2224"/>
      <c r="AN2224"/>
      <c r="AO2224"/>
      <c r="AP2224"/>
      <c r="AQ2224"/>
      <c r="AR2224"/>
      <c r="AS2224"/>
      <c r="AT2224"/>
      <c r="AU2224"/>
    </row>
    <row r="2225" spans="1:47" s="440" customFormat="1" ht="18" customHeight="1" x14ac:dyDescent="0.35">
      <c r="A2225">
        <f>MATCH(B2225,STUDIES!$A$3:$A$502,0)</f>
        <v>95</v>
      </c>
      <c r="B2225" t="s">
        <v>1812</v>
      </c>
      <c r="C2225" s="456"/>
      <c r="D2225" t="s">
        <v>1048</v>
      </c>
      <c r="E2225" t="s">
        <v>1167</v>
      </c>
      <c r="F2225" s="456" t="str">
        <f>_xlfn.XLOOKUP(B2225,STUDIES!$A$3:$A$1063,STUDIES!$G$3:$G$1063,"Not Found!")</f>
        <v>A</v>
      </c>
      <c r="G2225" s="456" t="s">
        <v>152</v>
      </c>
      <c r="H2225">
        <v>24</v>
      </c>
      <c r="I2225">
        <v>25</v>
      </c>
      <c r="J2225">
        <v>0</v>
      </c>
      <c r="K2225"/>
      <c r="L2225"/>
      <c r="M2225"/>
      <c r="N2225"/>
      <c r="O2225"/>
      <c r="P2225"/>
      <c r="Q2225"/>
      <c r="R2225"/>
      <c r="S2225"/>
      <c r="T2225"/>
      <c r="U2225"/>
      <c r="V2225"/>
      <c r="W2225"/>
      <c r="X2225"/>
      <c r="Y2225"/>
      <c r="Z2225"/>
      <c r="AA2225"/>
      <c r="AB2225"/>
      <c r="AC2225"/>
      <c r="AD2225"/>
      <c r="AE2225"/>
      <c r="AF2225"/>
      <c r="AG2225"/>
      <c r="AH2225"/>
      <c r="AI2225"/>
      <c r="AJ2225"/>
      <c r="AK2225"/>
      <c r="AL2225"/>
      <c r="AM2225"/>
      <c r="AN2225"/>
      <c r="AO2225"/>
      <c r="AP2225"/>
      <c r="AQ2225"/>
      <c r="AR2225"/>
      <c r="AS2225"/>
      <c r="AT2225"/>
      <c r="AU2225"/>
    </row>
    <row r="2226" spans="1:47" s="440" customFormat="1" ht="18" customHeight="1" x14ac:dyDescent="0.35">
      <c r="A2226">
        <f>MATCH(B2226,STUDIES!$A$3:$A$502,0)</f>
        <v>95</v>
      </c>
      <c r="B2226" t="s">
        <v>1812</v>
      </c>
      <c r="C2226" s="456"/>
      <c r="D2226" t="s">
        <v>1038</v>
      </c>
      <c r="E2226" t="s">
        <v>1163</v>
      </c>
      <c r="F2226" s="456" t="str">
        <f>_xlfn.XLOOKUP(B2226,STUDIES!$A$3:$A$1063,STUDIES!$G$3:$G$1063,"Not Found!")</f>
        <v>A</v>
      </c>
      <c r="G2226" s="456" t="s">
        <v>152</v>
      </c>
      <c r="H2226">
        <v>24</v>
      </c>
      <c r="I2226">
        <v>25</v>
      </c>
      <c r="J2226">
        <v>0</v>
      </c>
      <c r="K2226"/>
      <c r="L2226"/>
      <c r="M2226"/>
      <c r="N2226"/>
      <c r="O2226"/>
      <c r="P2226"/>
      <c r="Q2226"/>
      <c r="R2226"/>
      <c r="S2226"/>
      <c r="T2226"/>
      <c r="U2226"/>
      <c r="V2226"/>
      <c r="W2226"/>
      <c r="X2226"/>
      <c r="Y2226"/>
      <c r="Z2226"/>
      <c r="AA2226"/>
      <c r="AB2226"/>
      <c r="AC2226"/>
      <c r="AD2226"/>
      <c r="AE2226"/>
      <c r="AF2226"/>
      <c r="AG2226"/>
      <c r="AH2226"/>
      <c r="AI2226"/>
      <c r="AJ2226"/>
      <c r="AK2226"/>
      <c r="AL2226"/>
      <c r="AM2226"/>
      <c r="AN2226"/>
      <c r="AO2226"/>
      <c r="AP2226"/>
      <c r="AQ2226"/>
      <c r="AR2226"/>
      <c r="AS2226"/>
      <c r="AT2226"/>
      <c r="AU2226"/>
    </row>
    <row r="2227" spans="1:47" s="440" customFormat="1" ht="18" customHeight="1" x14ac:dyDescent="0.35">
      <c r="A2227">
        <f>MATCH(B2227,STUDIES!$A$3:$A$502,0)</f>
        <v>95</v>
      </c>
      <c r="B2227" t="s">
        <v>1812</v>
      </c>
      <c r="C2227" s="456"/>
      <c r="D2227" t="s">
        <v>1048</v>
      </c>
      <c r="E2227" t="s">
        <v>1163</v>
      </c>
      <c r="F2227" s="456" t="str">
        <f>_xlfn.XLOOKUP(B2227,STUDIES!$A$3:$A$1063,STUDIES!$G$3:$G$1063,"Not Found!")</f>
        <v>A</v>
      </c>
      <c r="G2227" s="456" t="s">
        <v>152</v>
      </c>
      <c r="H2227">
        <v>24</v>
      </c>
      <c r="I2227">
        <v>25</v>
      </c>
      <c r="J2227">
        <v>0</v>
      </c>
      <c r="K2227"/>
      <c r="L2227"/>
      <c r="M2227"/>
      <c r="N2227"/>
      <c r="O2227"/>
      <c r="P2227"/>
      <c r="Q2227"/>
      <c r="R2227"/>
      <c r="S2227"/>
      <c r="T2227"/>
      <c r="U2227"/>
      <c r="V2227"/>
      <c r="W2227"/>
      <c r="X2227"/>
      <c r="Y2227"/>
      <c r="Z2227"/>
      <c r="AA2227"/>
      <c r="AB2227"/>
      <c r="AC2227"/>
      <c r="AD2227"/>
      <c r="AE2227"/>
      <c r="AF2227"/>
      <c r="AG2227"/>
      <c r="AH2227"/>
      <c r="AI2227"/>
      <c r="AJ2227"/>
      <c r="AK2227"/>
      <c r="AL2227"/>
      <c r="AM2227"/>
      <c r="AN2227"/>
      <c r="AO2227"/>
      <c r="AP2227"/>
      <c r="AQ2227"/>
      <c r="AR2227"/>
      <c r="AS2227"/>
      <c r="AT2227"/>
      <c r="AU2227"/>
    </row>
    <row r="2228" spans="1:47" s="440" customFormat="1" ht="18" customHeight="1" x14ac:dyDescent="0.35">
      <c r="A2228">
        <f>MATCH(B2228,STUDIES!$A$3:$A$502,0)</f>
        <v>96</v>
      </c>
      <c r="B2228" t="s">
        <v>1825</v>
      </c>
      <c r="C2228" s="456"/>
      <c r="D2228" t="s">
        <v>1834</v>
      </c>
      <c r="E2228" t="s">
        <v>1163</v>
      </c>
      <c r="F2228" s="456" t="str">
        <f>_xlfn.XLOOKUP(B2228,STUDIES!$A$3:$A$1063,STUDIES!$G$3:$G$1063,"Not Found!")</f>
        <v>A</v>
      </c>
      <c r="G2228" s="456" t="s">
        <v>147</v>
      </c>
      <c r="H2228">
        <v>16</v>
      </c>
      <c r="I2228">
        <v>29</v>
      </c>
      <c r="J2228">
        <v>1</v>
      </c>
      <c r="K2228"/>
      <c r="L2228"/>
      <c r="M2228"/>
      <c r="N2228"/>
      <c r="O2228"/>
      <c r="P2228"/>
      <c r="Q2228"/>
      <c r="R2228"/>
      <c r="S2228"/>
      <c r="T2228"/>
      <c r="U2228"/>
      <c r="V2228"/>
      <c r="W2228"/>
      <c r="X2228"/>
      <c r="Y2228"/>
      <c r="Z2228"/>
      <c r="AA2228"/>
      <c r="AB2228"/>
      <c r="AC2228"/>
      <c r="AD2228"/>
      <c r="AE2228"/>
      <c r="AF2228"/>
      <c r="AG2228"/>
      <c r="AH2228"/>
      <c r="AI2228"/>
      <c r="AJ2228"/>
      <c r="AK2228"/>
      <c r="AL2228"/>
      <c r="AM2228"/>
      <c r="AN2228"/>
      <c r="AO2228"/>
      <c r="AP2228"/>
      <c r="AQ2228"/>
      <c r="AR2228"/>
      <c r="AS2228"/>
      <c r="AT2228"/>
      <c r="AU2228"/>
    </row>
    <row r="2229" spans="1:47" s="440" customFormat="1" ht="18" customHeight="1" x14ac:dyDescent="0.35">
      <c r="A2229">
        <f>MATCH(B2229,STUDIES!$A$3:$A$502,0)</f>
        <v>96</v>
      </c>
      <c r="B2229" t="s">
        <v>1825</v>
      </c>
      <c r="C2229" s="456"/>
      <c r="D2229" t="s">
        <v>1833</v>
      </c>
      <c r="E2229" t="s">
        <v>1163</v>
      </c>
      <c r="F2229" s="456" t="str">
        <f>_xlfn.XLOOKUP(B2229,STUDIES!$A$3:$A$1063,STUDIES!$G$3:$G$1063,"Not Found!")</f>
        <v>A</v>
      </c>
      <c r="G2229" s="456" t="s">
        <v>147</v>
      </c>
      <c r="H2229">
        <v>16</v>
      </c>
      <c r="I2229">
        <v>30</v>
      </c>
      <c r="J2229">
        <v>0</v>
      </c>
      <c r="K2229"/>
      <c r="L2229"/>
      <c r="M2229"/>
      <c r="N2229"/>
      <c r="O2229"/>
      <c r="P2229"/>
      <c r="Q2229"/>
      <c r="R2229"/>
      <c r="S2229"/>
      <c r="T2229"/>
      <c r="U2229"/>
      <c r="V2229"/>
      <c r="W2229"/>
      <c r="X2229"/>
      <c r="Y2229"/>
      <c r="Z2229"/>
      <c r="AA2229"/>
      <c r="AB2229"/>
      <c r="AC2229"/>
      <c r="AD2229"/>
      <c r="AE2229"/>
      <c r="AF2229"/>
      <c r="AG2229"/>
      <c r="AH2229"/>
      <c r="AI2229"/>
      <c r="AJ2229"/>
      <c r="AK2229"/>
      <c r="AL2229"/>
      <c r="AM2229"/>
      <c r="AN2229"/>
      <c r="AO2229"/>
      <c r="AP2229"/>
      <c r="AQ2229"/>
      <c r="AR2229"/>
      <c r="AS2229"/>
      <c r="AT2229"/>
      <c r="AU2229"/>
    </row>
    <row r="2230" spans="1:47" s="440" customFormat="1" ht="18" customHeight="1" x14ac:dyDescent="0.35">
      <c r="A2230">
        <f>MATCH(B2230,STUDIES!$A$3:$A$502,0)</f>
        <v>96</v>
      </c>
      <c r="B2230" t="s">
        <v>1825</v>
      </c>
      <c r="C2230" s="456"/>
      <c r="D2230" t="s">
        <v>148</v>
      </c>
      <c r="E2230" t="s">
        <v>1163</v>
      </c>
      <c r="F2230" s="456" t="str">
        <f>_xlfn.XLOOKUP(B2230,STUDIES!$A$3:$A$1063,STUDIES!$G$3:$G$1063,"Not Found!")</f>
        <v>A</v>
      </c>
      <c r="G2230" s="456" t="s">
        <v>147</v>
      </c>
      <c r="H2230">
        <v>16</v>
      </c>
      <c r="I2230">
        <v>29</v>
      </c>
      <c r="J2230">
        <v>0</v>
      </c>
      <c r="K2230"/>
      <c r="L2230"/>
      <c r="M2230"/>
      <c r="N2230"/>
      <c r="O2230"/>
      <c r="P2230"/>
      <c r="Q2230"/>
      <c r="R2230"/>
      <c r="S2230"/>
      <c r="T2230"/>
      <c r="U2230"/>
      <c r="V2230"/>
      <c r="W2230"/>
      <c r="X2230"/>
      <c r="Y2230"/>
      <c r="Z2230"/>
      <c r="AA2230"/>
      <c r="AB2230"/>
      <c r="AC2230"/>
      <c r="AD2230"/>
      <c r="AE2230"/>
      <c r="AF2230"/>
      <c r="AG2230"/>
      <c r="AH2230"/>
      <c r="AI2230"/>
      <c r="AJ2230"/>
      <c r="AK2230"/>
      <c r="AL2230"/>
      <c r="AM2230"/>
      <c r="AN2230"/>
      <c r="AO2230"/>
      <c r="AP2230"/>
      <c r="AQ2230"/>
      <c r="AR2230"/>
      <c r="AS2230"/>
      <c r="AT2230"/>
      <c r="AU2230"/>
    </row>
    <row r="2231" spans="1:47" s="440" customFormat="1" ht="18" customHeight="1" x14ac:dyDescent="0.35">
      <c r="A2231">
        <f>MATCH(B2231,STUDIES!$A$3:$A$502,0)</f>
        <v>96</v>
      </c>
      <c r="B2231" t="s">
        <v>1825</v>
      </c>
      <c r="C2231" s="456"/>
      <c r="D2231" t="s">
        <v>1834</v>
      </c>
      <c r="E2231" t="s">
        <v>1167</v>
      </c>
      <c r="F2231" s="456" t="str">
        <f>_xlfn.XLOOKUP(B2231,STUDIES!$A$3:$A$1063,STUDIES!$G$3:$G$1063,"Not Found!")</f>
        <v>A</v>
      </c>
      <c r="G2231" s="456" t="s">
        <v>1836</v>
      </c>
      <c r="H2231">
        <v>16</v>
      </c>
      <c r="I2231">
        <v>29</v>
      </c>
      <c r="J2231">
        <v>0</v>
      </c>
      <c r="K2231"/>
      <c r="L2231"/>
      <c r="M2231"/>
      <c r="N2231"/>
      <c r="O2231"/>
      <c r="P2231"/>
      <c r="Q2231"/>
      <c r="R2231"/>
      <c r="S2231"/>
      <c r="T2231"/>
      <c r="U2231"/>
      <c r="V2231"/>
      <c r="W2231"/>
      <c r="X2231"/>
      <c r="Y2231"/>
      <c r="Z2231"/>
      <c r="AA2231"/>
      <c r="AB2231"/>
      <c r="AC2231"/>
      <c r="AD2231"/>
      <c r="AE2231"/>
      <c r="AF2231"/>
      <c r="AG2231"/>
      <c r="AH2231"/>
      <c r="AI2231"/>
      <c r="AJ2231"/>
      <c r="AK2231"/>
      <c r="AL2231"/>
      <c r="AM2231"/>
      <c r="AN2231"/>
      <c r="AO2231"/>
      <c r="AP2231"/>
      <c r="AQ2231"/>
      <c r="AR2231"/>
      <c r="AS2231"/>
      <c r="AT2231"/>
      <c r="AU2231"/>
    </row>
    <row r="2232" spans="1:47" s="440" customFormat="1" ht="18" customHeight="1" x14ac:dyDescent="0.35">
      <c r="A2232">
        <f>MATCH(B2232,STUDIES!$A$3:$A$502,0)</f>
        <v>96</v>
      </c>
      <c r="B2232" t="s">
        <v>1825</v>
      </c>
      <c r="C2232" s="456"/>
      <c r="D2232" t="s">
        <v>1833</v>
      </c>
      <c r="E2232" t="s">
        <v>1167</v>
      </c>
      <c r="F2232" s="456" t="str">
        <f>_xlfn.XLOOKUP(B2232,STUDIES!$A$3:$A$1063,STUDIES!$G$3:$G$1063,"Not Found!")</f>
        <v>A</v>
      </c>
      <c r="G2232" s="456" t="s">
        <v>1836</v>
      </c>
      <c r="H2232">
        <v>16</v>
      </c>
      <c r="I2232">
        <v>30</v>
      </c>
      <c r="J2232">
        <v>0</v>
      </c>
      <c r="K2232"/>
      <c r="L2232"/>
      <c r="M2232"/>
      <c r="N2232"/>
      <c r="O2232"/>
      <c r="P2232"/>
      <c r="Q2232"/>
      <c r="R2232"/>
      <c r="S2232"/>
      <c r="T2232"/>
      <c r="U2232"/>
      <c r="V2232"/>
      <c r="W2232"/>
      <c r="X2232"/>
      <c r="Y2232"/>
      <c r="Z2232"/>
      <c r="AA2232"/>
      <c r="AB2232"/>
      <c r="AC2232"/>
      <c r="AD2232"/>
      <c r="AE2232"/>
      <c r="AF2232"/>
      <c r="AG2232"/>
      <c r="AH2232"/>
      <c r="AI2232"/>
      <c r="AJ2232"/>
      <c r="AK2232"/>
      <c r="AL2232"/>
      <c r="AM2232"/>
      <c r="AN2232"/>
      <c r="AO2232"/>
      <c r="AP2232"/>
      <c r="AQ2232"/>
      <c r="AR2232"/>
      <c r="AS2232"/>
      <c r="AT2232"/>
      <c r="AU2232"/>
    </row>
    <row r="2233" spans="1:47" s="440" customFormat="1" ht="18" customHeight="1" x14ac:dyDescent="0.35">
      <c r="A2233">
        <f>MATCH(B2233,STUDIES!$A$3:$A$502,0)</f>
        <v>96</v>
      </c>
      <c r="B2233" t="s">
        <v>1825</v>
      </c>
      <c r="C2233" s="456"/>
      <c r="D2233" t="s">
        <v>148</v>
      </c>
      <c r="E2233" t="s">
        <v>1167</v>
      </c>
      <c r="F2233" s="456" t="str">
        <f>_xlfn.XLOOKUP(B2233,STUDIES!$A$3:$A$1063,STUDIES!$G$3:$G$1063,"Not Found!")</f>
        <v>A</v>
      </c>
      <c r="G2233" s="456" t="s">
        <v>1836</v>
      </c>
      <c r="H2233">
        <v>16</v>
      </c>
      <c r="I2233">
        <v>29</v>
      </c>
      <c r="J2233">
        <v>3</v>
      </c>
      <c r="K2233"/>
      <c r="L2233"/>
      <c r="M2233"/>
      <c r="N2233"/>
      <c r="O2233"/>
      <c r="P2233"/>
      <c r="Q2233"/>
      <c r="R2233"/>
      <c r="S2233"/>
      <c r="T2233"/>
      <c r="U2233"/>
      <c r="V2233"/>
      <c r="W2233"/>
      <c r="X2233"/>
      <c r="Y2233"/>
      <c r="Z2233"/>
      <c r="AA2233"/>
      <c r="AB2233"/>
      <c r="AC2233"/>
      <c r="AD2233"/>
      <c r="AE2233"/>
      <c r="AF2233"/>
      <c r="AG2233"/>
      <c r="AH2233"/>
      <c r="AI2233"/>
      <c r="AJ2233"/>
      <c r="AK2233"/>
      <c r="AL2233"/>
      <c r="AM2233"/>
      <c r="AN2233"/>
      <c r="AO2233"/>
      <c r="AP2233"/>
      <c r="AQ2233"/>
      <c r="AR2233"/>
      <c r="AS2233"/>
      <c r="AT2233"/>
      <c r="AU2233"/>
    </row>
    <row r="2234" spans="1:47" s="440" customFormat="1" ht="18" customHeight="1" x14ac:dyDescent="0.35">
      <c r="A2234">
        <f>MATCH(B2234,STUDIES!$A$3:$A$502,0)</f>
        <v>96</v>
      </c>
      <c r="B2234" t="s">
        <v>1825</v>
      </c>
      <c r="C2234" s="456"/>
      <c r="D2234" t="s">
        <v>1834</v>
      </c>
      <c r="E2234" t="s">
        <v>151</v>
      </c>
      <c r="F2234" s="456" t="str">
        <f>_xlfn.XLOOKUP(B2234,STUDIES!$A$3:$A$1063,STUDIES!$G$3:$G$1063,"Not Found!")</f>
        <v>A</v>
      </c>
      <c r="G2234" s="456" t="s">
        <v>147</v>
      </c>
      <c r="H2234">
        <v>16</v>
      </c>
      <c r="I2234">
        <v>20</v>
      </c>
      <c r="J2234"/>
      <c r="K2234">
        <v>32.9</v>
      </c>
      <c r="L2234"/>
      <c r="M2234">
        <v>12.8</v>
      </c>
      <c r="N2234"/>
      <c r="O2234"/>
      <c r="P2234"/>
      <c r="Q2234"/>
      <c r="R2234"/>
      <c r="S2234"/>
      <c r="T2234"/>
      <c r="U2234"/>
      <c r="V2234"/>
      <c r="W2234"/>
      <c r="X2234">
        <v>7</v>
      </c>
      <c r="Y2234"/>
      <c r="Z2234">
        <v>12.7</v>
      </c>
      <c r="AA2234"/>
      <c r="AB2234"/>
      <c r="AC2234"/>
      <c r="AD2234"/>
      <c r="AE2234"/>
      <c r="AF2234"/>
      <c r="AG2234"/>
      <c r="AH2234"/>
      <c r="AI2234"/>
      <c r="AJ2234"/>
      <c r="AK2234"/>
      <c r="AL2234"/>
      <c r="AM2234"/>
      <c r="AN2234"/>
      <c r="AO2234"/>
      <c r="AP2234"/>
      <c r="AQ2234"/>
      <c r="AR2234"/>
      <c r="AS2234"/>
      <c r="AT2234"/>
      <c r="AU2234"/>
    </row>
    <row r="2235" spans="1:47" s="440" customFormat="1" ht="18" customHeight="1" x14ac:dyDescent="0.35">
      <c r="A2235">
        <f>MATCH(B2235,STUDIES!$A$3:$A$502,0)</f>
        <v>96</v>
      </c>
      <c r="B2235" t="s">
        <v>1825</v>
      </c>
      <c r="C2235" s="456"/>
      <c r="D2235" t="s">
        <v>1833</v>
      </c>
      <c r="E2235" t="s">
        <v>151</v>
      </c>
      <c r="F2235" s="456" t="str">
        <f>_xlfn.XLOOKUP(B2235,STUDIES!$A$3:$A$1063,STUDIES!$G$3:$G$1063,"Not Found!")</f>
        <v>A</v>
      </c>
      <c r="G2235" s="456" t="s">
        <v>147</v>
      </c>
      <c r="H2235">
        <v>16</v>
      </c>
      <c r="I2235">
        <v>22</v>
      </c>
      <c r="J2235"/>
      <c r="K2235">
        <v>28.4</v>
      </c>
      <c r="L2235"/>
      <c r="M2235">
        <v>11.5</v>
      </c>
      <c r="N2235"/>
      <c r="O2235"/>
      <c r="P2235"/>
      <c r="Q2235"/>
      <c r="R2235"/>
      <c r="S2235"/>
      <c r="T2235"/>
      <c r="U2235"/>
      <c r="V2235"/>
      <c r="W2235"/>
      <c r="X2235">
        <v>6.9</v>
      </c>
      <c r="Y2235"/>
      <c r="Z2235">
        <v>8.8000000000000007</v>
      </c>
      <c r="AA2235"/>
      <c r="AB2235"/>
      <c r="AC2235"/>
      <c r="AD2235"/>
      <c r="AE2235"/>
      <c r="AF2235"/>
      <c r="AG2235"/>
      <c r="AH2235"/>
      <c r="AI2235"/>
      <c r="AJ2235"/>
      <c r="AK2235"/>
      <c r="AL2235"/>
      <c r="AM2235"/>
      <c r="AN2235"/>
      <c r="AO2235"/>
      <c r="AP2235"/>
      <c r="AQ2235"/>
      <c r="AR2235"/>
      <c r="AS2235"/>
      <c r="AT2235"/>
      <c r="AU2235"/>
    </row>
    <row r="2236" spans="1:47" s="440" customFormat="1" ht="18" customHeight="1" x14ac:dyDescent="0.35">
      <c r="A2236">
        <f>MATCH(B2236,STUDIES!$A$3:$A$502,0)</f>
        <v>96</v>
      </c>
      <c r="B2236" t="s">
        <v>1825</v>
      </c>
      <c r="C2236" s="456"/>
      <c r="D2236" t="s">
        <v>148</v>
      </c>
      <c r="E2236" t="s">
        <v>151</v>
      </c>
      <c r="F2236" s="456" t="str">
        <f>_xlfn.XLOOKUP(B2236,STUDIES!$A$3:$A$1063,STUDIES!$G$3:$G$1063,"Not Found!")</f>
        <v>A</v>
      </c>
      <c r="G2236" s="456" t="s">
        <v>147</v>
      </c>
      <c r="H2236">
        <v>16</v>
      </c>
      <c r="I2236">
        <v>16</v>
      </c>
      <c r="J2236"/>
      <c r="K2236">
        <v>32.799999999999997</v>
      </c>
      <c r="L2236"/>
      <c r="M2236">
        <v>14.5</v>
      </c>
      <c r="N2236"/>
      <c r="O2236"/>
      <c r="P2236"/>
      <c r="Q2236"/>
      <c r="R2236"/>
      <c r="S2236"/>
      <c r="T2236"/>
      <c r="U2236"/>
      <c r="V2236"/>
      <c r="W2236"/>
      <c r="X2236">
        <v>14.3</v>
      </c>
      <c r="Y2236"/>
      <c r="Z2236">
        <v>15.8</v>
      </c>
      <c r="AA2236"/>
      <c r="AB2236"/>
      <c r="AC2236"/>
      <c r="AD2236"/>
      <c r="AE2236"/>
      <c r="AF2236"/>
      <c r="AG2236"/>
      <c r="AH2236"/>
      <c r="AI2236"/>
      <c r="AJ2236"/>
      <c r="AK2236"/>
      <c r="AL2236"/>
      <c r="AM2236"/>
      <c r="AN2236"/>
      <c r="AO2236"/>
      <c r="AP2236"/>
      <c r="AQ2236"/>
      <c r="AR2236"/>
      <c r="AS2236"/>
      <c r="AT2236"/>
      <c r="AU2236"/>
    </row>
    <row r="2237" spans="1:47" s="440" customFormat="1" ht="18" customHeight="1" x14ac:dyDescent="0.35">
      <c r="A2237">
        <f>MATCH(B2237,STUDIES!$A$3:$A$502,0)</f>
        <v>96</v>
      </c>
      <c r="B2237" t="s">
        <v>1825</v>
      </c>
      <c r="C2237" s="456"/>
      <c r="D2237" t="s">
        <v>1834</v>
      </c>
      <c r="E2237" t="s">
        <v>153</v>
      </c>
      <c r="F2237" s="456" t="str">
        <f>_xlfn.XLOOKUP(B2237,STUDIES!$A$3:$A$1063,STUDIES!$G$3:$G$1063,"Not Found!")</f>
        <v>A</v>
      </c>
      <c r="G2237" s="456" t="s">
        <v>1836</v>
      </c>
      <c r="H2237">
        <v>16</v>
      </c>
      <c r="I2237">
        <v>18</v>
      </c>
      <c r="J2237"/>
      <c r="K2237">
        <v>19.5</v>
      </c>
      <c r="L2237"/>
      <c r="M2237">
        <v>7.4</v>
      </c>
      <c r="N2237"/>
      <c r="O2237"/>
      <c r="P2237"/>
      <c r="Q2237"/>
      <c r="R2237"/>
      <c r="S2237"/>
      <c r="T2237"/>
      <c r="U2237"/>
      <c r="V2237"/>
      <c r="W2237"/>
      <c r="X2237">
        <v>9.1999999999999993</v>
      </c>
      <c r="Y2237"/>
      <c r="Z2237">
        <v>8.3000000000000007</v>
      </c>
      <c r="AA2237"/>
      <c r="AB2237"/>
      <c r="AC2237"/>
      <c r="AD2237"/>
      <c r="AE2237"/>
      <c r="AF2237"/>
      <c r="AG2237"/>
      <c r="AH2237"/>
      <c r="AI2237"/>
      <c r="AJ2237"/>
      <c r="AK2237"/>
      <c r="AL2237"/>
      <c r="AM2237"/>
      <c r="AN2237"/>
      <c r="AO2237"/>
      <c r="AP2237"/>
      <c r="AQ2237"/>
      <c r="AR2237"/>
      <c r="AS2237"/>
      <c r="AT2237"/>
      <c r="AU2237"/>
    </row>
    <row r="2238" spans="1:47" s="440" customFormat="1" ht="18" customHeight="1" x14ac:dyDescent="0.35">
      <c r="A2238">
        <f>MATCH(B2238,STUDIES!$A$3:$A$502,0)</f>
        <v>96</v>
      </c>
      <c r="B2238" t="s">
        <v>1825</v>
      </c>
      <c r="C2238" s="456"/>
      <c r="D2238" t="s">
        <v>1833</v>
      </c>
      <c r="E2238" t="s">
        <v>153</v>
      </c>
      <c r="F2238" s="456" t="str">
        <f>_xlfn.XLOOKUP(B2238,STUDIES!$A$3:$A$1063,STUDIES!$G$3:$G$1063,"Not Found!")</f>
        <v>A</v>
      </c>
      <c r="G2238" s="456" t="s">
        <v>1836</v>
      </c>
      <c r="H2238">
        <v>16</v>
      </c>
      <c r="I2238">
        <v>19</v>
      </c>
      <c r="J2238"/>
      <c r="K2238">
        <v>22</v>
      </c>
      <c r="L2238"/>
      <c r="M2238">
        <v>5.2</v>
      </c>
      <c r="N2238"/>
      <c r="O2238"/>
      <c r="P2238"/>
      <c r="Q2238"/>
      <c r="R2238"/>
      <c r="S2238"/>
      <c r="T2238"/>
      <c r="U2238"/>
      <c r="V2238"/>
      <c r="W2238"/>
      <c r="X2238">
        <v>11.2</v>
      </c>
      <c r="Y2238"/>
      <c r="Z2238">
        <v>9</v>
      </c>
      <c r="AA2238"/>
      <c r="AB2238"/>
      <c r="AC2238"/>
      <c r="AD2238"/>
      <c r="AE2238"/>
      <c r="AF2238"/>
      <c r="AG2238"/>
      <c r="AH2238"/>
      <c r="AI2238"/>
      <c r="AJ2238"/>
      <c r="AK2238"/>
      <c r="AL2238"/>
      <c r="AM2238"/>
      <c r="AN2238"/>
      <c r="AO2238"/>
      <c r="AP2238"/>
      <c r="AQ2238"/>
      <c r="AR2238"/>
      <c r="AS2238"/>
      <c r="AT2238"/>
      <c r="AU2238"/>
    </row>
    <row r="2239" spans="1:47" s="440" customFormat="1" ht="18" customHeight="1" x14ac:dyDescent="0.35">
      <c r="A2239">
        <f>MATCH(B2239,STUDIES!$A$3:$A$502,0)</f>
        <v>96</v>
      </c>
      <c r="B2239" t="s">
        <v>1825</v>
      </c>
      <c r="C2239" s="456"/>
      <c r="D2239" t="s">
        <v>148</v>
      </c>
      <c r="E2239" t="s">
        <v>153</v>
      </c>
      <c r="F2239" s="456" t="str">
        <f>_xlfn.XLOOKUP(B2239,STUDIES!$A$3:$A$1063,STUDIES!$G$3:$G$1063,"Not Found!")</f>
        <v>A</v>
      </c>
      <c r="G2239" s="456" t="s">
        <v>1836</v>
      </c>
      <c r="H2239">
        <v>16</v>
      </c>
      <c r="I2239">
        <v>16</v>
      </c>
      <c r="J2239"/>
      <c r="K2239">
        <v>21.5</v>
      </c>
      <c r="L2239"/>
      <c r="M2239">
        <v>4.0999999999999996</v>
      </c>
      <c r="N2239"/>
      <c r="O2239"/>
      <c r="P2239"/>
      <c r="Q2239"/>
      <c r="R2239"/>
      <c r="S2239"/>
      <c r="T2239"/>
      <c r="U2239"/>
      <c r="V2239"/>
      <c r="W2239"/>
      <c r="X2239">
        <v>13.8</v>
      </c>
      <c r="Y2239"/>
      <c r="Z2239">
        <v>8.1</v>
      </c>
      <c r="AA2239"/>
      <c r="AB2239"/>
      <c r="AC2239"/>
      <c r="AD2239"/>
      <c r="AE2239"/>
      <c r="AF2239"/>
      <c r="AG2239"/>
      <c r="AH2239"/>
      <c r="AI2239"/>
      <c r="AJ2239"/>
      <c r="AK2239"/>
      <c r="AL2239"/>
      <c r="AM2239"/>
      <c r="AN2239"/>
      <c r="AO2239"/>
      <c r="AP2239"/>
      <c r="AQ2239"/>
      <c r="AR2239"/>
      <c r="AS2239"/>
      <c r="AT2239"/>
      <c r="AU2239"/>
    </row>
    <row r="2240" spans="1:47" s="440" customFormat="1" ht="18" customHeight="1" x14ac:dyDescent="0.35">
      <c r="A2240">
        <f>MATCH(B2240,STUDIES!$A$3:$A$502,0)</f>
        <v>96</v>
      </c>
      <c r="B2240" t="s">
        <v>1825</v>
      </c>
      <c r="C2240" s="456"/>
      <c r="D2240" t="s">
        <v>1834</v>
      </c>
      <c r="E2240" t="s">
        <v>154</v>
      </c>
      <c r="F2240" s="456" t="str">
        <f>_xlfn.XLOOKUP(B2240,STUDIES!$A$3:$A$1063,STUDIES!$G$3:$G$1063,"Not Found!")</f>
        <v>A</v>
      </c>
      <c r="G2240" s="456" t="s">
        <v>147</v>
      </c>
      <c r="H2240">
        <v>16</v>
      </c>
      <c r="I2240">
        <v>18</v>
      </c>
      <c r="J2240"/>
      <c r="K2240">
        <v>14.5</v>
      </c>
      <c r="L2240"/>
      <c r="M2240">
        <v>7.4</v>
      </c>
      <c r="N2240"/>
      <c r="O2240"/>
      <c r="P2240"/>
      <c r="Q2240"/>
      <c r="R2240"/>
      <c r="S2240"/>
      <c r="T2240"/>
      <c r="U2240"/>
      <c r="V2240"/>
      <c r="W2240"/>
      <c r="X2240">
        <v>6.2</v>
      </c>
      <c r="Y2240"/>
      <c r="Z2240">
        <v>5.5</v>
      </c>
      <c r="AA2240"/>
      <c r="AB2240"/>
      <c r="AC2240"/>
      <c r="AD2240"/>
      <c r="AE2240"/>
      <c r="AF2240"/>
      <c r="AG2240"/>
      <c r="AH2240"/>
      <c r="AI2240"/>
      <c r="AJ2240"/>
      <c r="AK2240"/>
      <c r="AL2240"/>
      <c r="AM2240"/>
      <c r="AN2240"/>
      <c r="AO2240"/>
      <c r="AP2240"/>
      <c r="AQ2240"/>
      <c r="AR2240"/>
      <c r="AS2240"/>
      <c r="AT2240"/>
      <c r="AU2240"/>
    </row>
    <row r="2241" spans="1:47" s="440" customFormat="1" ht="18" customHeight="1" x14ac:dyDescent="0.35">
      <c r="A2241">
        <f>MATCH(B2241,STUDIES!$A$3:$A$502,0)</f>
        <v>96</v>
      </c>
      <c r="B2241" t="s">
        <v>1825</v>
      </c>
      <c r="C2241" s="456"/>
      <c r="D2241" t="s">
        <v>1833</v>
      </c>
      <c r="E2241" t="s">
        <v>154</v>
      </c>
      <c r="F2241" s="456" t="str">
        <f>_xlfn.XLOOKUP(B2241,STUDIES!$A$3:$A$1063,STUDIES!$G$3:$G$1063,"Not Found!")</f>
        <v>A</v>
      </c>
      <c r="G2241" s="456" t="s">
        <v>147</v>
      </c>
      <c r="H2241">
        <v>16</v>
      </c>
      <c r="I2241">
        <v>21</v>
      </c>
      <c r="J2241"/>
      <c r="K2241">
        <v>15.3</v>
      </c>
      <c r="L2241"/>
      <c r="M2241">
        <v>7.5</v>
      </c>
      <c r="N2241"/>
      <c r="O2241"/>
      <c r="P2241"/>
      <c r="Q2241"/>
      <c r="R2241"/>
      <c r="S2241"/>
      <c r="T2241"/>
      <c r="U2241"/>
      <c r="V2241"/>
      <c r="W2241"/>
      <c r="X2241">
        <v>4.9000000000000004</v>
      </c>
      <c r="Y2241"/>
      <c r="Z2241">
        <v>6.8</v>
      </c>
      <c r="AA2241"/>
      <c r="AB2241"/>
      <c r="AC2241"/>
      <c r="AD2241"/>
      <c r="AE2241"/>
      <c r="AF2241"/>
      <c r="AG2241"/>
      <c r="AH2241"/>
      <c r="AI2241"/>
      <c r="AJ2241"/>
      <c r="AK2241"/>
      <c r="AL2241"/>
      <c r="AM2241"/>
      <c r="AN2241"/>
      <c r="AO2241"/>
      <c r="AP2241"/>
      <c r="AQ2241"/>
      <c r="AR2241"/>
      <c r="AS2241"/>
      <c r="AT2241"/>
      <c r="AU2241"/>
    </row>
    <row r="2242" spans="1:47" s="440" customFormat="1" ht="18" customHeight="1" x14ac:dyDescent="0.35">
      <c r="A2242">
        <f>MATCH(B2242,STUDIES!$A$3:$A$502,0)</f>
        <v>96</v>
      </c>
      <c r="B2242" t="s">
        <v>1825</v>
      </c>
      <c r="C2242" s="456"/>
      <c r="D2242" t="s">
        <v>148</v>
      </c>
      <c r="E2242" t="s">
        <v>154</v>
      </c>
      <c r="F2242" s="456" t="str">
        <f>_xlfn.XLOOKUP(B2242,STUDIES!$A$3:$A$1063,STUDIES!$G$3:$G$1063,"Not Found!")</f>
        <v>A</v>
      </c>
      <c r="G2242" s="456" t="s">
        <v>147</v>
      </c>
      <c r="H2242">
        <v>16</v>
      </c>
      <c r="I2242">
        <v>16</v>
      </c>
      <c r="J2242"/>
      <c r="K2242">
        <v>17.899999999999999</v>
      </c>
      <c r="L2242"/>
      <c r="M2242">
        <v>6.6</v>
      </c>
      <c r="N2242"/>
      <c r="O2242"/>
      <c r="P2242"/>
      <c r="Q2242"/>
      <c r="R2242"/>
      <c r="S2242"/>
      <c r="T2242"/>
      <c r="U2242"/>
      <c r="V2242"/>
      <c r="W2242"/>
      <c r="X2242">
        <v>10.8</v>
      </c>
      <c r="Y2242"/>
      <c r="Z2242">
        <v>7.1</v>
      </c>
      <c r="AA2242"/>
      <c r="AB2242"/>
      <c r="AC2242"/>
      <c r="AD2242"/>
      <c r="AE2242"/>
      <c r="AF2242"/>
      <c r="AG2242"/>
      <c r="AH2242"/>
      <c r="AI2242"/>
      <c r="AJ2242"/>
      <c r="AK2242"/>
      <c r="AL2242"/>
      <c r="AM2242"/>
      <c r="AN2242"/>
      <c r="AO2242"/>
      <c r="AP2242"/>
      <c r="AQ2242"/>
      <c r="AR2242"/>
      <c r="AS2242"/>
      <c r="AT2242"/>
      <c r="AU2242"/>
    </row>
    <row r="2243" spans="1:47" s="440" customFormat="1" ht="18" customHeight="1" x14ac:dyDescent="0.35">
      <c r="A2243">
        <f>MATCH(B2243,STUDIES!$A$3:$A$502,0)</f>
        <v>96</v>
      </c>
      <c r="B2243" t="s">
        <v>1825</v>
      </c>
      <c r="C2243" s="456"/>
      <c r="D2243" t="s">
        <v>1834</v>
      </c>
      <c r="E2243" t="s">
        <v>695</v>
      </c>
      <c r="F2243" s="456" t="str">
        <f>_xlfn.XLOOKUP(B2243,STUDIES!$A$3:$A$1063,STUDIES!$G$3:$G$1063,"Not Found!")</f>
        <v>A</v>
      </c>
      <c r="G2243" s="456" t="s">
        <v>1836</v>
      </c>
      <c r="H2243">
        <v>16</v>
      </c>
      <c r="I2243">
        <v>13</v>
      </c>
      <c r="J2243"/>
      <c r="K2243">
        <v>6.9</v>
      </c>
      <c r="L2243"/>
      <c r="M2243">
        <v>2.2999999999999998</v>
      </c>
      <c r="N2243"/>
      <c r="O2243"/>
      <c r="P2243"/>
      <c r="Q2243"/>
      <c r="R2243"/>
      <c r="S2243"/>
      <c r="T2243"/>
      <c r="U2243"/>
      <c r="V2243"/>
      <c r="W2243"/>
      <c r="X2243">
        <v>3.1</v>
      </c>
      <c r="Y2243"/>
      <c r="Z2243">
        <v>1.9</v>
      </c>
      <c r="AA2243"/>
      <c r="AB2243"/>
      <c r="AC2243"/>
      <c r="AD2243"/>
      <c r="AE2243"/>
      <c r="AF2243"/>
      <c r="AG2243"/>
      <c r="AH2243"/>
      <c r="AI2243"/>
      <c r="AJ2243"/>
      <c r="AK2243"/>
      <c r="AL2243"/>
      <c r="AM2243"/>
      <c r="AN2243"/>
      <c r="AO2243"/>
      <c r="AP2243"/>
      <c r="AQ2243"/>
      <c r="AR2243"/>
      <c r="AS2243"/>
      <c r="AT2243"/>
      <c r="AU2243"/>
    </row>
    <row r="2244" spans="1:47" s="440" customFormat="1" ht="18" customHeight="1" x14ac:dyDescent="0.35">
      <c r="A2244">
        <f>MATCH(B2244,STUDIES!$A$3:$A$502,0)</f>
        <v>96</v>
      </c>
      <c r="B2244" t="s">
        <v>1825</v>
      </c>
      <c r="C2244" s="456"/>
      <c r="D2244" t="s">
        <v>1833</v>
      </c>
      <c r="E2244" t="s">
        <v>695</v>
      </c>
      <c r="F2244" s="456" t="str">
        <f>_xlfn.XLOOKUP(B2244,STUDIES!$A$3:$A$1063,STUDIES!$G$3:$G$1063,"Not Found!")</f>
        <v>A</v>
      </c>
      <c r="G2244" s="456" t="s">
        <v>1836</v>
      </c>
      <c r="H2244">
        <v>16</v>
      </c>
      <c r="I2244">
        <v>19</v>
      </c>
      <c r="J2244"/>
      <c r="K2244">
        <v>6.7</v>
      </c>
      <c r="L2244"/>
      <c r="M2244">
        <v>2.2000000000000002</v>
      </c>
      <c r="N2244"/>
      <c r="O2244"/>
      <c r="P2244"/>
      <c r="Q2244"/>
      <c r="R2244"/>
      <c r="S2244"/>
      <c r="T2244"/>
      <c r="U2244"/>
      <c r="V2244"/>
      <c r="W2244"/>
      <c r="X2244">
        <v>2.8</v>
      </c>
      <c r="Y2244"/>
      <c r="Z2244">
        <v>2.2000000000000002</v>
      </c>
      <c r="AA2244"/>
      <c r="AB2244"/>
      <c r="AC2244"/>
      <c r="AD2244"/>
      <c r="AE2244"/>
      <c r="AF2244"/>
      <c r="AG2244"/>
      <c r="AH2244"/>
      <c r="AI2244"/>
      <c r="AJ2244"/>
      <c r="AK2244"/>
      <c r="AL2244"/>
      <c r="AM2244"/>
      <c r="AN2244"/>
      <c r="AO2244"/>
      <c r="AP2244"/>
      <c r="AQ2244"/>
      <c r="AR2244"/>
      <c r="AS2244"/>
      <c r="AT2244"/>
      <c r="AU2244"/>
    </row>
    <row r="2245" spans="1:47" s="440" customFormat="1" ht="18" customHeight="1" x14ac:dyDescent="0.35">
      <c r="A2245">
        <f>MATCH(B2245,STUDIES!$A$3:$A$502,0)</f>
        <v>96</v>
      </c>
      <c r="B2245" t="s">
        <v>1825</v>
      </c>
      <c r="C2245" s="456"/>
      <c r="D2245" t="s">
        <v>148</v>
      </c>
      <c r="E2245" t="s">
        <v>695</v>
      </c>
      <c r="F2245" s="456" t="str">
        <f>_xlfn.XLOOKUP(B2245,STUDIES!$A$3:$A$1063,STUDIES!$G$3:$G$1063,"Not Found!")</f>
        <v>A</v>
      </c>
      <c r="G2245" s="456" t="s">
        <v>1836</v>
      </c>
      <c r="H2245">
        <v>16</v>
      </c>
      <c r="I2245">
        <v>13</v>
      </c>
      <c r="J2245"/>
      <c r="K2245">
        <v>7.4</v>
      </c>
      <c r="L2245"/>
      <c r="M2245">
        <v>1.6</v>
      </c>
      <c r="N2245"/>
      <c r="O2245"/>
      <c r="P2245"/>
      <c r="Q2245"/>
      <c r="R2245"/>
      <c r="S2245"/>
      <c r="T2245"/>
      <c r="U2245"/>
      <c r="V2245"/>
      <c r="W2245"/>
      <c r="X2245">
        <v>4.3</v>
      </c>
      <c r="Y2245"/>
      <c r="Z2245">
        <v>2.7</v>
      </c>
      <c r="AA2245"/>
      <c r="AB2245"/>
      <c r="AC2245"/>
      <c r="AD2245"/>
      <c r="AE2245"/>
      <c r="AF2245"/>
      <c r="AG2245"/>
      <c r="AH2245"/>
      <c r="AI2245"/>
      <c r="AJ2245"/>
      <c r="AK2245"/>
      <c r="AL2245"/>
      <c r="AM2245"/>
      <c r="AN2245"/>
      <c r="AO2245"/>
      <c r="AP2245"/>
      <c r="AQ2245"/>
      <c r="AR2245"/>
      <c r="AS2245"/>
      <c r="AT2245"/>
      <c r="AU2245"/>
    </row>
    <row r="2246" spans="1:47" s="440" customFormat="1" ht="18" customHeight="1" x14ac:dyDescent="0.35">
      <c r="A2246">
        <f>MATCH(B2246,STUDIES!$A$3:$A$502,0)</f>
        <v>96</v>
      </c>
      <c r="B2246" t="s">
        <v>1825</v>
      </c>
      <c r="C2246" s="456"/>
      <c r="D2246" t="s">
        <v>1834</v>
      </c>
      <c r="E2246" t="s">
        <v>1258</v>
      </c>
      <c r="F2246" s="456" t="str">
        <f>_xlfn.XLOOKUP(B2246,STUDIES!$A$3:$A$1063,STUDIES!$G$3:$G$1063,"Not Found!")</f>
        <v>A</v>
      </c>
      <c r="G2246" s="456" t="s">
        <v>147</v>
      </c>
      <c r="H2246">
        <v>16</v>
      </c>
      <c r="I2246">
        <v>27</v>
      </c>
      <c r="J2246">
        <f>0.67*I2246</f>
        <v>18.09</v>
      </c>
      <c r="K2246"/>
      <c r="L2246"/>
      <c r="M2246"/>
      <c r="N2246"/>
      <c r="O2246"/>
      <c r="P2246"/>
      <c r="Q2246"/>
      <c r="R2246"/>
      <c r="S2246"/>
      <c r="T2246"/>
      <c r="U2246"/>
      <c r="V2246"/>
      <c r="W2246"/>
      <c r="X2246"/>
      <c r="Y2246"/>
      <c r="Z2246"/>
      <c r="AA2246"/>
      <c r="AB2246"/>
      <c r="AC2246"/>
      <c r="AD2246"/>
      <c r="AE2246"/>
      <c r="AF2246"/>
      <c r="AG2246"/>
      <c r="AH2246"/>
      <c r="AI2246"/>
      <c r="AJ2246"/>
      <c r="AK2246"/>
      <c r="AL2246"/>
      <c r="AM2246"/>
      <c r="AN2246"/>
      <c r="AO2246"/>
      <c r="AP2246"/>
      <c r="AQ2246"/>
      <c r="AR2246"/>
      <c r="AS2246"/>
      <c r="AT2246"/>
      <c r="AU2246"/>
    </row>
    <row r="2247" spans="1:47" s="440" customFormat="1" ht="18" customHeight="1" x14ac:dyDescent="0.35">
      <c r="A2247">
        <f>MATCH(B2247,STUDIES!$A$3:$A$502,0)</f>
        <v>96</v>
      </c>
      <c r="B2247" t="s">
        <v>1825</v>
      </c>
      <c r="C2247" s="456"/>
      <c r="D2247" t="s">
        <v>1833</v>
      </c>
      <c r="E2247" t="s">
        <v>1258</v>
      </c>
      <c r="F2247" s="456" t="str">
        <f>_xlfn.XLOOKUP(B2247,STUDIES!$A$3:$A$1063,STUDIES!$G$3:$G$1063,"Not Found!")</f>
        <v>A</v>
      </c>
      <c r="G2247" s="456" t="s">
        <v>147</v>
      </c>
      <c r="H2247">
        <v>16</v>
      </c>
      <c r="I2247">
        <v>27</v>
      </c>
      <c r="J2247">
        <f>0.7*I2247</f>
        <v>18.899999999999999</v>
      </c>
      <c r="K2247"/>
      <c r="L2247"/>
      <c r="M2247"/>
      <c r="N2247"/>
      <c r="O2247"/>
      <c r="P2247"/>
      <c r="Q2247"/>
      <c r="R2247"/>
      <c r="S2247"/>
      <c r="T2247"/>
      <c r="U2247"/>
      <c r="V2247"/>
      <c r="W2247"/>
      <c r="X2247"/>
      <c r="Y2247"/>
      <c r="Z2247"/>
      <c r="AA2247"/>
      <c r="AB2247"/>
      <c r="AC2247"/>
      <c r="AD2247"/>
      <c r="AE2247"/>
      <c r="AF2247"/>
      <c r="AG2247"/>
      <c r="AH2247"/>
      <c r="AI2247"/>
      <c r="AJ2247"/>
      <c r="AK2247"/>
      <c r="AL2247"/>
      <c r="AM2247"/>
      <c r="AN2247"/>
      <c r="AO2247"/>
      <c r="AP2247"/>
      <c r="AQ2247"/>
      <c r="AR2247"/>
      <c r="AS2247"/>
      <c r="AT2247"/>
      <c r="AU2247"/>
    </row>
    <row r="2248" spans="1:47" s="440" customFormat="1" ht="18" customHeight="1" x14ac:dyDescent="0.35">
      <c r="A2248">
        <f>MATCH(B2248,STUDIES!$A$3:$A$502,0)</f>
        <v>96</v>
      </c>
      <c r="B2248" t="s">
        <v>1825</v>
      </c>
      <c r="C2248" s="456"/>
      <c r="D2248" t="s">
        <v>148</v>
      </c>
      <c r="E2248" t="s">
        <v>1258</v>
      </c>
      <c r="F2248" s="456" t="str">
        <f>_xlfn.XLOOKUP(B2248,STUDIES!$A$3:$A$1063,STUDIES!$G$3:$G$1063,"Not Found!")</f>
        <v>A</v>
      </c>
      <c r="G2248" s="456" t="s">
        <v>147</v>
      </c>
      <c r="H2248">
        <v>16</v>
      </c>
      <c r="I2248">
        <v>24</v>
      </c>
      <c r="J2248">
        <f>0.42*I2248</f>
        <v>10.08</v>
      </c>
      <c r="K2248"/>
      <c r="L2248"/>
      <c r="M2248"/>
      <c r="N2248"/>
      <c r="O2248"/>
      <c r="P2248"/>
      <c r="Q2248"/>
      <c r="R2248"/>
      <c r="S2248"/>
      <c r="T2248"/>
      <c r="U2248"/>
      <c r="V2248"/>
      <c r="W2248"/>
      <c r="X2248"/>
      <c r="Y2248"/>
      <c r="Z2248"/>
      <c r="AA2248"/>
      <c r="AB2248"/>
      <c r="AC2248"/>
      <c r="AD2248"/>
      <c r="AE2248"/>
      <c r="AF2248"/>
      <c r="AG2248"/>
      <c r="AH2248"/>
      <c r="AI2248"/>
      <c r="AJ2248"/>
      <c r="AK2248"/>
      <c r="AL2248"/>
      <c r="AM2248"/>
      <c r="AN2248"/>
      <c r="AO2248"/>
      <c r="AP2248"/>
      <c r="AQ2248"/>
      <c r="AR2248"/>
      <c r="AS2248"/>
      <c r="AT2248"/>
      <c r="AU2248"/>
    </row>
    <row r="2249" spans="1:47" ht="18" customHeight="1" x14ac:dyDescent="0.35">
      <c r="A2249">
        <f>MATCH(B2249,STUDIES!$A$3:$A$502,0)</f>
        <v>96</v>
      </c>
      <c r="B2249" t="s">
        <v>1825</v>
      </c>
      <c r="C2249" s="456"/>
      <c r="D2249" t="s">
        <v>1834</v>
      </c>
      <c r="E2249" t="s">
        <v>1243</v>
      </c>
      <c r="F2249" s="456" t="str">
        <f>_xlfn.XLOOKUP(B2249,STUDIES!$A$3:$A$1063,STUDIES!$G$3:$G$1063,"Not Found!")</f>
        <v>A</v>
      </c>
      <c r="G2249" s="456" t="s">
        <v>1836</v>
      </c>
      <c r="H2249">
        <v>16</v>
      </c>
      <c r="I2249">
        <v>27</v>
      </c>
      <c r="J2249">
        <f>0.59*I2249</f>
        <v>15.93</v>
      </c>
      <c r="K2249"/>
      <c r="L2249"/>
      <c r="M2249"/>
      <c r="N2249"/>
      <c r="O2249"/>
      <c r="P2249"/>
      <c r="Q2249"/>
      <c r="R2249"/>
      <c r="S2249"/>
      <c r="T2249"/>
      <c r="U2249"/>
      <c r="V2249"/>
      <c r="W2249"/>
      <c r="X2249"/>
      <c r="Y2249"/>
      <c r="Z2249"/>
      <c r="AA2249"/>
      <c r="AB2249"/>
      <c r="AC2249"/>
      <c r="AD2249"/>
      <c r="AE2249"/>
      <c r="AF2249"/>
      <c r="AG2249"/>
      <c r="AH2249"/>
      <c r="AI2249"/>
      <c r="AJ2249"/>
      <c r="AK2249"/>
      <c r="AL2249"/>
      <c r="AM2249"/>
      <c r="AN2249"/>
      <c r="AO2249"/>
      <c r="AP2249"/>
      <c r="AQ2249"/>
      <c r="AR2249"/>
      <c r="AS2249"/>
      <c r="AT2249"/>
      <c r="AU2249"/>
    </row>
    <row r="2250" spans="1:47" ht="18" customHeight="1" x14ac:dyDescent="0.35">
      <c r="A2250">
        <f>MATCH(B2250,STUDIES!$A$3:$A$502,0)</f>
        <v>96</v>
      </c>
      <c r="B2250" t="s">
        <v>1825</v>
      </c>
      <c r="C2250" s="456"/>
      <c r="D2250" t="s">
        <v>1833</v>
      </c>
      <c r="E2250" t="s">
        <v>1243</v>
      </c>
      <c r="F2250" s="456" t="str">
        <f>_xlfn.XLOOKUP(B2250,STUDIES!$A$3:$A$1063,STUDIES!$G$3:$G$1063,"Not Found!")</f>
        <v>A</v>
      </c>
      <c r="G2250" s="456" t="s">
        <v>1836</v>
      </c>
      <c r="H2250">
        <v>16</v>
      </c>
      <c r="I2250">
        <v>27</v>
      </c>
      <c r="J2250">
        <f>0.52*I2250</f>
        <v>14.040000000000001</v>
      </c>
      <c r="K2250"/>
      <c r="L2250"/>
      <c r="M2250"/>
      <c r="N2250"/>
      <c r="O2250"/>
      <c r="P2250"/>
      <c r="Q2250"/>
      <c r="R2250"/>
      <c r="S2250"/>
      <c r="T2250"/>
      <c r="U2250"/>
      <c r="V2250"/>
      <c r="W2250"/>
      <c r="X2250"/>
      <c r="Y2250"/>
      <c r="Z2250"/>
      <c r="AA2250"/>
      <c r="AB2250"/>
      <c r="AC2250"/>
      <c r="AD2250"/>
      <c r="AE2250"/>
      <c r="AF2250"/>
      <c r="AG2250"/>
      <c r="AH2250"/>
      <c r="AI2250"/>
      <c r="AJ2250"/>
      <c r="AK2250"/>
      <c r="AL2250"/>
      <c r="AM2250"/>
      <c r="AN2250"/>
      <c r="AO2250"/>
      <c r="AP2250"/>
      <c r="AQ2250"/>
      <c r="AR2250"/>
      <c r="AS2250"/>
      <c r="AT2250"/>
      <c r="AU2250"/>
    </row>
    <row r="2251" spans="1:47" ht="18" customHeight="1" x14ac:dyDescent="0.35">
      <c r="A2251">
        <f>MATCH(B2251,STUDIES!$A$3:$A$502,0)</f>
        <v>96</v>
      </c>
      <c r="B2251" t="s">
        <v>1825</v>
      </c>
      <c r="C2251" s="456"/>
      <c r="D2251" t="s">
        <v>148</v>
      </c>
      <c r="E2251" t="s">
        <v>1243</v>
      </c>
      <c r="F2251" s="456" t="str">
        <f>_xlfn.XLOOKUP(B2251,STUDIES!$A$3:$A$1063,STUDIES!$G$3:$G$1063,"Not Found!")</f>
        <v>A</v>
      </c>
      <c r="G2251" s="456" t="s">
        <v>1836</v>
      </c>
      <c r="H2251">
        <v>16</v>
      </c>
      <c r="I2251">
        <v>24</v>
      </c>
      <c r="J2251">
        <f>0.25*I2251</f>
        <v>6</v>
      </c>
      <c r="K2251"/>
      <c r="L2251"/>
      <c r="M2251"/>
      <c r="N2251"/>
      <c r="O2251"/>
      <c r="P2251"/>
      <c r="Q2251"/>
      <c r="R2251"/>
      <c r="S2251"/>
      <c r="T2251"/>
      <c r="U2251"/>
      <c r="V2251"/>
      <c r="W2251"/>
      <c r="X2251"/>
      <c r="Y2251"/>
      <c r="Z2251"/>
      <c r="AA2251"/>
      <c r="AB2251"/>
      <c r="AC2251"/>
      <c r="AD2251"/>
      <c r="AE2251"/>
      <c r="AF2251"/>
      <c r="AG2251"/>
      <c r="AH2251"/>
      <c r="AI2251"/>
      <c r="AJ2251"/>
      <c r="AK2251"/>
      <c r="AL2251"/>
      <c r="AM2251"/>
      <c r="AN2251"/>
      <c r="AO2251"/>
      <c r="AP2251"/>
      <c r="AQ2251"/>
      <c r="AR2251"/>
      <c r="AS2251"/>
      <c r="AT2251"/>
      <c r="AU2251"/>
    </row>
    <row r="2252" spans="1:47" ht="18" customHeight="1" x14ac:dyDescent="0.35">
      <c r="A2252">
        <f>MATCH(B2252,STUDIES!$A$3:$A$502,0)</f>
        <v>96</v>
      </c>
      <c r="B2252" t="s">
        <v>1825</v>
      </c>
      <c r="C2252" s="456"/>
      <c r="D2252" t="s">
        <v>1834</v>
      </c>
      <c r="E2252" t="s">
        <v>1244</v>
      </c>
      <c r="F2252" s="456" t="str">
        <f>_xlfn.XLOOKUP(B2252,STUDIES!$A$3:$A$1063,STUDIES!$G$3:$G$1063,"Not Found!")</f>
        <v>A</v>
      </c>
      <c r="G2252" s="456" t="s">
        <v>147</v>
      </c>
      <c r="H2252">
        <v>16</v>
      </c>
      <c r="I2252">
        <v>27</v>
      </c>
      <c r="J2252">
        <f>0.33*I2252</f>
        <v>8.91</v>
      </c>
      <c r="K2252"/>
      <c r="L2252"/>
      <c r="M2252"/>
      <c r="N2252"/>
      <c r="O2252"/>
      <c r="P2252"/>
      <c r="Q2252"/>
      <c r="R2252"/>
      <c r="S2252"/>
      <c r="T2252"/>
      <c r="U2252"/>
      <c r="V2252"/>
      <c r="W2252"/>
      <c r="X2252"/>
      <c r="Y2252"/>
      <c r="Z2252"/>
      <c r="AA2252"/>
      <c r="AB2252"/>
      <c r="AC2252"/>
      <c r="AD2252"/>
      <c r="AE2252"/>
      <c r="AF2252"/>
      <c r="AG2252"/>
      <c r="AH2252"/>
      <c r="AI2252"/>
      <c r="AJ2252"/>
      <c r="AK2252"/>
      <c r="AL2252"/>
      <c r="AM2252"/>
      <c r="AN2252"/>
      <c r="AO2252"/>
      <c r="AP2252"/>
      <c r="AQ2252"/>
      <c r="AR2252"/>
      <c r="AS2252"/>
      <c r="AT2252"/>
      <c r="AU2252"/>
    </row>
    <row r="2253" spans="1:47" ht="18" customHeight="1" x14ac:dyDescent="0.35">
      <c r="A2253">
        <f>MATCH(B2253,STUDIES!$A$3:$A$502,0)</f>
        <v>96</v>
      </c>
      <c r="B2253" t="s">
        <v>1825</v>
      </c>
      <c r="C2253" s="456"/>
      <c r="D2253" t="s">
        <v>1833</v>
      </c>
      <c r="E2253" t="s">
        <v>1244</v>
      </c>
      <c r="F2253" s="456" t="str">
        <f>_xlfn.XLOOKUP(B2253,STUDIES!$A$3:$A$1063,STUDIES!$G$3:$G$1063,"Not Found!")</f>
        <v>A</v>
      </c>
      <c r="G2253" s="456" t="s">
        <v>147</v>
      </c>
      <c r="H2253">
        <v>16</v>
      </c>
      <c r="I2253">
        <v>27</v>
      </c>
      <c r="J2253">
        <f>0.3*I2253</f>
        <v>8.1</v>
      </c>
      <c r="K2253"/>
      <c r="L2253"/>
      <c r="M2253"/>
      <c r="N2253"/>
      <c r="O2253"/>
      <c r="P2253"/>
      <c r="Q2253"/>
      <c r="R2253"/>
      <c r="S2253"/>
      <c r="T2253"/>
      <c r="U2253"/>
      <c r="V2253"/>
      <c r="W2253"/>
      <c r="X2253"/>
      <c r="Y2253"/>
      <c r="Z2253"/>
      <c r="AA2253"/>
      <c r="AB2253"/>
      <c r="AC2253"/>
      <c r="AD2253"/>
      <c r="AE2253"/>
      <c r="AF2253"/>
      <c r="AG2253"/>
      <c r="AH2253"/>
      <c r="AI2253"/>
      <c r="AJ2253"/>
      <c r="AK2253"/>
      <c r="AL2253"/>
      <c r="AM2253"/>
      <c r="AN2253"/>
      <c r="AO2253"/>
      <c r="AP2253"/>
      <c r="AQ2253"/>
      <c r="AR2253"/>
      <c r="AS2253"/>
      <c r="AT2253"/>
      <c r="AU2253"/>
    </row>
    <row r="2254" spans="1:47" ht="18" customHeight="1" x14ac:dyDescent="0.35">
      <c r="A2254">
        <f>MATCH(B2254,STUDIES!$A$3:$A$502,0)</f>
        <v>96</v>
      </c>
      <c r="B2254" t="s">
        <v>1825</v>
      </c>
      <c r="C2254" s="456"/>
      <c r="D2254" t="s">
        <v>148</v>
      </c>
      <c r="E2254" t="s">
        <v>1244</v>
      </c>
      <c r="F2254" s="456" t="str">
        <f>_xlfn.XLOOKUP(B2254,STUDIES!$A$3:$A$1063,STUDIES!$G$3:$G$1063,"Not Found!")</f>
        <v>A</v>
      </c>
      <c r="G2254" s="456" t="s">
        <v>147</v>
      </c>
      <c r="H2254">
        <v>16</v>
      </c>
      <c r="I2254">
        <v>24</v>
      </c>
      <c r="J2254">
        <f>0.13*I2254</f>
        <v>3.12</v>
      </c>
      <c r="K2254"/>
      <c r="L2254"/>
      <c r="M2254"/>
      <c r="N2254"/>
      <c r="O2254"/>
      <c r="P2254"/>
      <c r="Q2254"/>
      <c r="R2254"/>
      <c r="S2254"/>
      <c r="T2254"/>
      <c r="U2254"/>
      <c r="V2254"/>
      <c r="W2254"/>
      <c r="X2254"/>
      <c r="Y2254"/>
      <c r="Z2254"/>
      <c r="AA2254"/>
      <c r="AB2254"/>
      <c r="AC2254"/>
      <c r="AD2254"/>
      <c r="AE2254"/>
      <c r="AF2254"/>
      <c r="AG2254"/>
      <c r="AH2254"/>
      <c r="AI2254"/>
      <c r="AJ2254"/>
      <c r="AK2254"/>
      <c r="AL2254"/>
      <c r="AM2254"/>
      <c r="AN2254"/>
      <c r="AO2254"/>
      <c r="AP2254"/>
      <c r="AQ2254"/>
      <c r="AR2254"/>
      <c r="AS2254"/>
      <c r="AT2254"/>
      <c r="AU2254"/>
    </row>
    <row r="2255" spans="1:47" ht="18" customHeight="1" x14ac:dyDescent="0.35">
      <c r="A2255">
        <f>MATCH(B2255,STUDIES!$A$3:$A$502,0)</f>
        <v>96</v>
      </c>
      <c r="B2255" t="s">
        <v>1825</v>
      </c>
      <c r="C2255" s="456"/>
      <c r="D2255" t="s">
        <v>1834</v>
      </c>
      <c r="E2255" t="s">
        <v>1268</v>
      </c>
      <c r="F2255" s="456" t="str">
        <f>_xlfn.XLOOKUP(B2255,STUDIES!$A$3:$A$1063,STUDIES!$G$3:$G$1063,"Not Found!")</f>
        <v>A</v>
      </c>
      <c r="G2255" s="456" t="s">
        <v>1836</v>
      </c>
      <c r="H2255">
        <v>16</v>
      </c>
      <c r="I2255">
        <v>27</v>
      </c>
      <c r="J2255">
        <f>0.44*I2255</f>
        <v>11.88</v>
      </c>
      <c r="K2255"/>
      <c r="L2255"/>
      <c r="M2255"/>
      <c r="N2255"/>
      <c r="O2255"/>
      <c r="P2255"/>
      <c r="Q2255"/>
      <c r="R2255"/>
      <c r="S2255"/>
      <c r="T2255"/>
      <c r="U2255"/>
      <c r="V2255"/>
      <c r="W2255"/>
      <c r="X2255"/>
      <c r="Y2255"/>
      <c r="Z2255"/>
      <c r="AA2255"/>
      <c r="AB2255"/>
      <c r="AC2255"/>
      <c r="AD2255"/>
      <c r="AE2255"/>
      <c r="AF2255"/>
      <c r="AG2255"/>
      <c r="AH2255"/>
      <c r="AI2255"/>
      <c r="AJ2255"/>
      <c r="AK2255"/>
      <c r="AL2255"/>
      <c r="AM2255"/>
      <c r="AN2255"/>
      <c r="AO2255"/>
      <c r="AP2255"/>
      <c r="AQ2255"/>
      <c r="AR2255"/>
      <c r="AS2255"/>
      <c r="AT2255"/>
      <c r="AU2255"/>
    </row>
    <row r="2256" spans="1:47" ht="18" customHeight="1" x14ac:dyDescent="0.35">
      <c r="A2256">
        <f>MATCH(B2256,STUDIES!$A$3:$A$502,0)</f>
        <v>96</v>
      </c>
      <c r="B2256" t="s">
        <v>1825</v>
      </c>
      <c r="C2256" s="456"/>
      <c r="D2256" t="s">
        <v>1833</v>
      </c>
      <c r="E2256" t="s">
        <v>1268</v>
      </c>
      <c r="F2256" s="456" t="str">
        <f>_xlfn.XLOOKUP(B2256,STUDIES!$A$3:$A$1063,STUDIES!$G$3:$G$1063,"Not Found!")</f>
        <v>A</v>
      </c>
      <c r="G2256" s="456" t="s">
        <v>1836</v>
      </c>
      <c r="H2256">
        <v>16</v>
      </c>
      <c r="I2256">
        <v>27</v>
      </c>
      <c r="J2256">
        <f>0.37*I2256</f>
        <v>9.99</v>
      </c>
      <c r="K2256"/>
      <c r="L2256"/>
      <c r="M2256"/>
      <c r="N2256"/>
      <c r="O2256"/>
      <c r="P2256"/>
      <c r="Q2256"/>
      <c r="R2256"/>
      <c r="S2256"/>
      <c r="T2256"/>
      <c r="U2256"/>
      <c r="V2256"/>
      <c r="W2256"/>
      <c r="X2256"/>
      <c r="Y2256"/>
      <c r="Z2256"/>
      <c r="AA2256"/>
      <c r="AB2256"/>
      <c r="AC2256"/>
      <c r="AD2256"/>
      <c r="AE2256"/>
      <c r="AF2256"/>
      <c r="AG2256"/>
      <c r="AH2256"/>
      <c r="AI2256"/>
      <c r="AJ2256"/>
      <c r="AK2256"/>
      <c r="AL2256"/>
      <c r="AM2256"/>
      <c r="AN2256"/>
      <c r="AO2256"/>
      <c r="AP2256"/>
      <c r="AQ2256"/>
      <c r="AR2256"/>
      <c r="AS2256"/>
      <c r="AT2256"/>
      <c r="AU2256"/>
    </row>
    <row r="2257" spans="1:47" ht="18" customHeight="1" x14ac:dyDescent="0.35">
      <c r="A2257">
        <f>MATCH(B2257,STUDIES!$A$3:$A$502,0)</f>
        <v>96</v>
      </c>
      <c r="B2257" t="s">
        <v>1825</v>
      </c>
      <c r="C2257" s="456"/>
      <c r="D2257" t="s">
        <v>148</v>
      </c>
      <c r="E2257" t="s">
        <v>1268</v>
      </c>
      <c r="F2257" s="456" t="str">
        <f>_xlfn.XLOOKUP(B2257,STUDIES!$A$3:$A$1063,STUDIES!$G$3:$G$1063,"Not Found!")</f>
        <v>A</v>
      </c>
      <c r="G2257" s="456" t="s">
        <v>1836</v>
      </c>
      <c r="H2257">
        <v>16</v>
      </c>
      <c r="I2257">
        <v>24</v>
      </c>
      <c r="J2257">
        <f>0.08*I2257</f>
        <v>1.92</v>
      </c>
      <c r="K2257"/>
      <c r="L2257"/>
      <c r="M2257"/>
      <c r="N2257"/>
      <c r="O2257"/>
      <c r="P2257"/>
      <c r="Q2257"/>
      <c r="R2257"/>
      <c r="S2257"/>
      <c r="T2257"/>
      <c r="U2257"/>
      <c r="V2257"/>
      <c r="W2257"/>
      <c r="X2257"/>
      <c r="Y2257"/>
      <c r="Z2257"/>
      <c r="AA2257"/>
      <c r="AB2257"/>
      <c r="AC2257"/>
      <c r="AD2257"/>
      <c r="AE2257"/>
      <c r="AF2257"/>
      <c r="AG2257"/>
      <c r="AH2257"/>
      <c r="AI2257"/>
      <c r="AJ2257"/>
      <c r="AK2257"/>
      <c r="AL2257"/>
      <c r="AM2257"/>
      <c r="AN2257"/>
      <c r="AO2257"/>
      <c r="AP2257"/>
      <c r="AQ2257"/>
      <c r="AR2257"/>
      <c r="AS2257"/>
      <c r="AT2257"/>
      <c r="AU2257"/>
    </row>
    <row r="2258" spans="1:47" ht="18" customHeight="1" x14ac:dyDescent="0.35">
      <c r="A2258">
        <f>MATCH(B2258,STUDIES!$A$3:$A$502,0)</f>
        <v>97</v>
      </c>
      <c r="B2258" t="s">
        <v>1841</v>
      </c>
      <c r="C2258" s="456"/>
      <c r="D2258" t="s">
        <v>1848</v>
      </c>
      <c r="E2258" t="s">
        <v>1243</v>
      </c>
      <c r="F2258" s="456" t="str">
        <f>_xlfn.XLOOKUP(B2258,STUDIES!$A$3:$A$1063,STUDIES!$G$3:$G$1063,"Not Found!")</f>
        <v>A</v>
      </c>
      <c r="G2258" s="456" t="s">
        <v>147</v>
      </c>
      <c r="H2258">
        <v>16</v>
      </c>
      <c r="I2258">
        <v>40</v>
      </c>
      <c r="J2258">
        <v>28</v>
      </c>
      <c r="K2258"/>
      <c r="L2258"/>
      <c r="M2258"/>
      <c r="N2258"/>
      <c r="O2258"/>
      <c r="P2258"/>
      <c r="Q2258"/>
      <c r="R2258"/>
      <c r="S2258"/>
      <c r="T2258"/>
      <c r="U2258"/>
      <c r="V2258"/>
      <c r="W2258"/>
      <c r="X2258"/>
      <c r="Y2258"/>
      <c r="Z2258"/>
      <c r="AA2258"/>
      <c r="AB2258"/>
      <c r="AC2258"/>
      <c r="AD2258"/>
      <c r="AE2258"/>
      <c r="AF2258"/>
      <c r="AG2258"/>
      <c r="AH2258"/>
      <c r="AI2258"/>
      <c r="AJ2258"/>
      <c r="AK2258"/>
      <c r="AL2258"/>
      <c r="AM2258"/>
      <c r="AN2258"/>
      <c r="AO2258"/>
      <c r="AP2258"/>
      <c r="AQ2258"/>
      <c r="AR2258"/>
      <c r="AS2258"/>
      <c r="AT2258"/>
      <c r="AU2258"/>
    </row>
    <row r="2259" spans="1:47" ht="18" customHeight="1" x14ac:dyDescent="0.35">
      <c r="A2259">
        <f>MATCH(B2259,STUDIES!$A$3:$A$502,0)</f>
        <v>97</v>
      </c>
      <c r="B2259" t="s">
        <v>1841</v>
      </c>
      <c r="C2259" s="456"/>
      <c r="D2259" t="s">
        <v>1849</v>
      </c>
      <c r="E2259" t="s">
        <v>1243</v>
      </c>
      <c r="F2259" s="456" t="str">
        <f>_xlfn.XLOOKUP(B2259,STUDIES!$A$3:$A$1063,STUDIES!$G$3:$G$1063,"Not Found!")</f>
        <v>A</v>
      </c>
      <c r="G2259" s="456" t="s">
        <v>147</v>
      </c>
      <c r="H2259">
        <v>16</v>
      </c>
      <c r="I2259">
        <v>40</v>
      </c>
      <c r="J2259">
        <v>26</v>
      </c>
      <c r="K2259"/>
      <c r="L2259"/>
      <c r="M2259"/>
      <c r="N2259"/>
      <c r="O2259"/>
      <c r="P2259"/>
      <c r="Q2259"/>
      <c r="R2259"/>
      <c r="S2259"/>
      <c r="T2259"/>
      <c r="U2259"/>
      <c r="V2259"/>
      <c r="W2259"/>
      <c r="X2259"/>
      <c r="Y2259"/>
      <c r="Z2259"/>
      <c r="AA2259"/>
      <c r="AB2259"/>
      <c r="AC2259"/>
      <c r="AD2259"/>
      <c r="AE2259"/>
      <c r="AF2259"/>
      <c r="AG2259"/>
      <c r="AH2259"/>
      <c r="AI2259"/>
      <c r="AJ2259"/>
      <c r="AK2259"/>
      <c r="AL2259"/>
      <c r="AM2259"/>
      <c r="AN2259"/>
      <c r="AO2259"/>
      <c r="AP2259"/>
      <c r="AQ2259"/>
      <c r="AR2259"/>
      <c r="AS2259"/>
      <c r="AT2259"/>
      <c r="AU2259"/>
    </row>
    <row r="2260" spans="1:47" ht="18" customHeight="1" x14ac:dyDescent="0.35">
      <c r="A2260">
        <f>MATCH(B2260,STUDIES!$A$3:$A$502,0)</f>
        <v>97</v>
      </c>
      <c r="B2260" t="s">
        <v>1841</v>
      </c>
      <c r="C2260" s="456"/>
      <c r="D2260" t="s">
        <v>148</v>
      </c>
      <c r="E2260" t="s">
        <v>1243</v>
      </c>
      <c r="F2260" s="456" t="str">
        <f>_xlfn.XLOOKUP(B2260,STUDIES!$A$3:$A$1063,STUDIES!$G$3:$G$1063,"Not Found!")</f>
        <v>A</v>
      </c>
      <c r="G2260" s="456" t="s">
        <v>147</v>
      </c>
      <c r="H2260">
        <v>16</v>
      </c>
      <c r="I2260">
        <v>40</v>
      </c>
      <c r="J2260">
        <v>8</v>
      </c>
      <c r="K2260"/>
      <c r="L2260"/>
      <c r="M2260"/>
      <c r="N2260"/>
      <c r="O2260"/>
      <c r="P2260"/>
      <c r="Q2260"/>
      <c r="R2260"/>
      <c r="S2260"/>
      <c r="T2260"/>
      <c r="U2260"/>
      <c r="V2260"/>
      <c r="W2260"/>
      <c r="X2260"/>
      <c r="Y2260"/>
      <c r="Z2260"/>
      <c r="AA2260"/>
      <c r="AB2260"/>
      <c r="AC2260"/>
      <c r="AD2260"/>
      <c r="AE2260"/>
      <c r="AF2260"/>
      <c r="AG2260"/>
      <c r="AH2260"/>
      <c r="AI2260"/>
      <c r="AJ2260"/>
      <c r="AK2260"/>
      <c r="AL2260"/>
      <c r="AM2260"/>
      <c r="AN2260"/>
      <c r="AO2260"/>
      <c r="AP2260"/>
      <c r="AQ2260"/>
      <c r="AR2260"/>
      <c r="AS2260"/>
      <c r="AT2260"/>
      <c r="AU2260"/>
    </row>
    <row r="2261" spans="1:47" ht="18" customHeight="1" x14ac:dyDescent="0.35">
      <c r="A2261">
        <f>MATCH(B2261,STUDIES!$A$3:$A$502,0)</f>
        <v>97</v>
      </c>
      <c r="B2261" t="s">
        <v>1841</v>
      </c>
      <c r="C2261" s="456"/>
      <c r="D2261" t="s">
        <v>1848</v>
      </c>
      <c r="E2261" t="s">
        <v>1268</v>
      </c>
      <c r="F2261" s="456" t="str">
        <f>_xlfn.XLOOKUP(B2261,STUDIES!$A$3:$A$1063,STUDIES!$G$3:$G$1063,"Not Found!")</f>
        <v>A</v>
      </c>
      <c r="G2261" s="456" t="s">
        <v>147</v>
      </c>
      <c r="H2261">
        <v>16</v>
      </c>
      <c r="I2261">
        <v>40</v>
      </c>
      <c r="J2261">
        <v>22</v>
      </c>
      <c r="K2261" t="s">
        <v>1865</v>
      </c>
      <c r="L2261"/>
      <c r="M2261"/>
      <c r="N2261"/>
      <c r="O2261"/>
      <c r="P2261"/>
      <c r="Q2261"/>
      <c r="R2261"/>
      <c r="S2261"/>
      <c r="T2261"/>
      <c r="U2261"/>
      <c r="V2261"/>
      <c r="W2261"/>
      <c r="X2261"/>
      <c r="Y2261"/>
      <c r="Z2261"/>
      <c r="AA2261"/>
      <c r="AB2261"/>
      <c r="AC2261"/>
      <c r="AD2261"/>
      <c r="AE2261"/>
      <c r="AF2261"/>
      <c r="AG2261"/>
      <c r="AH2261"/>
      <c r="AI2261"/>
      <c r="AJ2261"/>
      <c r="AK2261"/>
      <c r="AL2261"/>
      <c r="AM2261"/>
      <c r="AN2261"/>
      <c r="AO2261"/>
      <c r="AP2261"/>
      <c r="AQ2261"/>
      <c r="AR2261"/>
      <c r="AS2261"/>
      <c r="AT2261"/>
      <c r="AU2261"/>
    </row>
    <row r="2262" spans="1:47" ht="18" customHeight="1" x14ac:dyDescent="0.35">
      <c r="A2262">
        <f>MATCH(B2262,STUDIES!$A$3:$A$502,0)</f>
        <v>97</v>
      </c>
      <c r="B2262" t="s">
        <v>1841</v>
      </c>
      <c r="C2262" s="456"/>
      <c r="D2262" t="s">
        <v>1849</v>
      </c>
      <c r="E2262" t="s">
        <v>1268</v>
      </c>
      <c r="F2262" s="456" t="str">
        <f>_xlfn.XLOOKUP(B2262,STUDIES!$A$3:$A$1063,STUDIES!$G$3:$G$1063,"Not Found!")</f>
        <v>A</v>
      </c>
      <c r="G2262" s="456" t="s">
        <v>147</v>
      </c>
      <c r="H2262">
        <v>16</v>
      </c>
      <c r="I2262">
        <v>40</v>
      </c>
      <c r="J2262">
        <v>30</v>
      </c>
      <c r="K2262"/>
      <c r="L2262"/>
      <c r="M2262"/>
      <c r="N2262"/>
      <c r="O2262"/>
      <c r="P2262"/>
      <c r="Q2262"/>
      <c r="R2262"/>
      <c r="S2262"/>
      <c r="T2262"/>
      <c r="U2262"/>
      <c r="V2262"/>
      <c r="W2262"/>
      <c r="X2262"/>
      <c r="Y2262"/>
      <c r="Z2262"/>
      <c r="AA2262"/>
      <c r="AB2262"/>
      <c r="AC2262"/>
      <c r="AD2262"/>
      <c r="AE2262"/>
      <c r="AF2262"/>
      <c r="AG2262"/>
      <c r="AH2262"/>
      <c r="AI2262"/>
      <c r="AJ2262"/>
      <c r="AK2262"/>
      <c r="AL2262"/>
      <c r="AM2262"/>
      <c r="AN2262"/>
      <c r="AO2262"/>
      <c r="AP2262"/>
      <c r="AQ2262"/>
      <c r="AR2262"/>
      <c r="AS2262"/>
      <c r="AT2262"/>
      <c r="AU2262"/>
    </row>
    <row r="2263" spans="1:47" ht="18" customHeight="1" x14ac:dyDescent="0.35">
      <c r="A2263">
        <f>MATCH(B2263,STUDIES!$A$3:$A$502,0)</f>
        <v>97</v>
      </c>
      <c r="B2263" t="s">
        <v>1841</v>
      </c>
      <c r="C2263" s="456"/>
      <c r="D2263" t="s">
        <v>148</v>
      </c>
      <c r="E2263" t="s">
        <v>1268</v>
      </c>
      <c r="F2263" s="456" t="str">
        <f>_xlfn.XLOOKUP(B2263,STUDIES!$A$3:$A$1063,STUDIES!$G$3:$G$1063,"Not Found!")</f>
        <v>A</v>
      </c>
      <c r="G2263" s="456" t="s">
        <v>147</v>
      </c>
      <c r="H2263">
        <v>16</v>
      </c>
      <c r="I2263">
        <v>40</v>
      </c>
      <c r="J2263">
        <v>12</v>
      </c>
      <c r="K2263"/>
      <c r="L2263"/>
      <c r="M2263"/>
      <c r="N2263"/>
      <c r="O2263"/>
      <c r="P2263"/>
      <c r="Q2263"/>
      <c r="R2263"/>
      <c r="S2263"/>
      <c r="T2263"/>
      <c r="U2263"/>
      <c r="V2263"/>
      <c r="W2263"/>
      <c r="X2263"/>
      <c r="Y2263"/>
      <c r="Z2263"/>
      <c r="AA2263"/>
      <c r="AB2263"/>
      <c r="AC2263"/>
      <c r="AD2263"/>
      <c r="AE2263"/>
      <c r="AF2263"/>
      <c r="AG2263"/>
      <c r="AH2263"/>
      <c r="AI2263"/>
      <c r="AJ2263"/>
      <c r="AK2263"/>
      <c r="AL2263"/>
      <c r="AM2263"/>
      <c r="AN2263"/>
      <c r="AO2263"/>
      <c r="AP2263"/>
      <c r="AQ2263"/>
      <c r="AR2263"/>
      <c r="AS2263"/>
      <c r="AT2263"/>
      <c r="AU2263"/>
    </row>
    <row r="2264" spans="1:47" ht="18" customHeight="1" x14ac:dyDescent="0.35">
      <c r="A2264">
        <f>MATCH(B2264,STUDIES!$A$3:$A$502,0)</f>
        <v>97</v>
      </c>
      <c r="B2264" t="s">
        <v>1841</v>
      </c>
      <c r="C2264" s="456"/>
      <c r="D2264" t="s">
        <v>1848</v>
      </c>
      <c r="E2264" t="s">
        <v>1244</v>
      </c>
      <c r="F2264" s="456" t="str">
        <f>_xlfn.XLOOKUP(B2264,STUDIES!$A$3:$A$1063,STUDIES!$G$3:$G$1063,"Not Found!")</f>
        <v>A</v>
      </c>
      <c r="G2264" s="456" t="s">
        <v>147</v>
      </c>
      <c r="H2264">
        <v>16</v>
      </c>
      <c r="I2264">
        <v>40</v>
      </c>
      <c r="J2264">
        <v>16</v>
      </c>
      <c r="K2264"/>
      <c r="L2264"/>
      <c r="M2264"/>
      <c r="N2264"/>
      <c r="O2264"/>
      <c r="P2264"/>
      <c r="Q2264"/>
      <c r="R2264"/>
      <c r="S2264"/>
      <c r="T2264"/>
      <c r="U2264"/>
      <c r="V2264"/>
      <c r="W2264"/>
      <c r="X2264"/>
      <c r="Y2264"/>
      <c r="Z2264"/>
      <c r="AA2264"/>
      <c r="AB2264"/>
      <c r="AC2264"/>
      <c r="AD2264"/>
      <c r="AE2264"/>
      <c r="AF2264"/>
      <c r="AG2264"/>
      <c r="AH2264"/>
      <c r="AI2264"/>
      <c r="AJ2264"/>
      <c r="AK2264"/>
      <c r="AL2264"/>
      <c r="AM2264"/>
      <c r="AN2264"/>
      <c r="AO2264"/>
      <c r="AP2264"/>
      <c r="AQ2264"/>
      <c r="AR2264"/>
      <c r="AS2264"/>
      <c r="AT2264"/>
      <c r="AU2264"/>
    </row>
    <row r="2265" spans="1:47" ht="18" customHeight="1" x14ac:dyDescent="0.35">
      <c r="A2265">
        <f>MATCH(B2265,STUDIES!$A$3:$A$502,0)</f>
        <v>97</v>
      </c>
      <c r="B2265" t="s">
        <v>1841</v>
      </c>
      <c r="C2265" s="456"/>
      <c r="D2265" t="s">
        <v>1849</v>
      </c>
      <c r="E2265" t="s">
        <v>1244</v>
      </c>
      <c r="F2265" s="456" t="str">
        <f>_xlfn.XLOOKUP(B2265,STUDIES!$A$3:$A$1063,STUDIES!$G$3:$G$1063,"Not Found!")</f>
        <v>A</v>
      </c>
      <c r="G2265" s="456" t="s">
        <v>147</v>
      </c>
      <c r="H2265">
        <v>16</v>
      </c>
      <c r="I2265">
        <v>40</v>
      </c>
      <c r="J2265">
        <v>19</v>
      </c>
      <c r="K2265"/>
      <c r="L2265"/>
      <c r="M2265"/>
      <c r="N2265"/>
      <c r="O2265"/>
      <c r="P2265"/>
      <c r="Q2265"/>
      <c r="R2265"/>
      <c r="S2265"/>
      <c r="T2265"/>
      <c r="U2265"/>
      <c r="V2265"/>
      <c r="W2265"/>
      <c r="X2265"/>
      <c r="Y2265"/>
      <c r="Z2265"/>
      <c r="AA2265"/>
      <c r="AB2265"/>
      <c r="AC2265"/>
      <c r="AD2265"/>
      <c r="AE2265"/>
      <c r="AF2265"/>
      <c r="AG2265"/>
      <c r="AH2265"/>
      <c r="AI2265"/>
      <c r="AJ2265"/>
      <c r="AK2265"/>
      <c r="AL2265"/>
      <c r="AM2265"/>
      <c r="AN2265"/>
      <c r="AO2265"/>
      <c r="AP2265"/>
      <c r="AQ2265"/>
      <c r="AR2265"/>
      <c r="AS2265"/>
      <c r="AT2265"/>
      <c r="AU2265"/>
    </row>
    <row r="2266" spans="1:47" ht="18" customHeight="1" x14ac:dyDescent="0.35">
      <c r="A2266">
        <f>MATCH(B2266,STUDIES!$A$3:$A$502,0)</f>
        <v>97</v>
      </c>
      <c r="B2266" t="s">
        <v>1841</v>
      </c>
      <c r="C2266" s="456"/>
      <c r="D2266" t="s">
        <v>148</v>
      </c>
      <c r="E2266" t="s">
        <v>1244</v>
      </c>
      <c r="F2266" s="456" t="str">
        <f>_xlfn.XLOOKUP(B2266,STUDIES!$A$3:$A$1063,STUDIES!$G$3:$G$1063,"Not Found!")</f>
        <v>A</v>
      </c>
      <c r="G2266" s="456" t="s">
        <v>147</v>
      </c>
      <c r="H2266">
        <v>16</v>
      </c>
      <c r="I2266">
        <v>40</v>
      </c>
      <c r="J2266">
        <v>4</v>
      </c>
      <c r="K2266"/>
      <c r="L2266"/>
      <c r="M2266"/>
      <c r="N2266"/>
      <c r="O2266"/>
      <c r="P2266"/>
      <c r="Q2266"/>
      <c r="R2266"/>
      <c r="S2266"/>
      <c r="T2266"/>
      <c r="U2266"/>
      <c r="V2266"/>
      <c r="W2266"/>
      <c r="X2266"/>
      <c r="Y2266"/>
      <c r="Z2266"/>
      <c r="AA2266"/>
      <c r="AB2266"/>
      <c r="AC2266"/>
      <c r="AD2266"/>
      <c r="AE2266"/>
      <c r="AF2266"/>
      <c r="AG2266"/>
      <c r="AH2266"/>
      <c r="AI2266"/>
      <c r="AJ2266"/>
      <c r="AK2266"/>
      <c r="AL2266"/>
      <c r="AM2266"/>
      <c r="AN2266"/>
      <c r="AO2266"/>
      <c r="AP2266"/>
      <c r="AQ2266"/>
      <c r="AR2266"/>
      <c r="AS2266"/>
      <c r="AT2266"/>
      <c r="AU2266"/>
    </row>
    <row r="2267" spans="1:47" ht="18" customHeight="1" x14ac:dyDescent="0.35">
      <c r="A2267">
        <f>MATCH(B2267,STUDIES!$A$3:$A$502,0)</f>
        <v>97</v>
      </c>
      <c r="B2267" t="s">
        <v>1841</v>
      </c>
      <c r="C2267" s="456"/>
      <c r="D2267" t="s">
        <v>1848</v>
      </c>
      <c r="E2267" t="s">
        <v>1258</v>
      </c>
      <c r="F2267" s="456" t="str">
        <f>_xlfn.XLOOKUP(B2267,STUDIES!$A$3:$A$1063,STUDIES!$G$3:$G$1063,"Not Found!")</f>
        <v>A</v>
      </c>
      <c r="G2267" s="456" t="s">
        <v>147</v>
      </c>
      <c r="H2267">
        <v>16</v>
      </c>
      <c r="I2267">
        <v>40</v>
      </c>
      <c r="J2267">
        <v>34</v>
      </c>
      <c r="K2267"/>
      <c r="L2267"/>
      <c r="M2267"/>
      <c r="N2267"/>
      <c r="O2267"/>
      <c r="P2267"/>
      <c r="Q2267"/>
      <c r="R2267"/>
      <c r="S2267"/>
      <c r="T2267"/>
      <c r="U2267"/>
      <c r="V2267"/>
      <c r="W2267"/>
      <c r="X2267"/>
      <c r="Y2267"/>
      <c r="Z2267"/>
      <c r="AA2267"/>
      <c r="AB2267"/>
      <c r="AC2267"/>
      <c r="AD2267"/>
      <c r="AE2267"/>
      <c r="AF2267"/>
      <c r="AG2267"/>
      <c r="AH2267"/>
      <c r="AI2267"/>
      <c r="AJ2267"/>
      <c r="AK2267"/>
      <c r="AL2267"/>
      <c r="AM2267"/>
      <c r="AN2267"/>
      <c r="AO2267"/>
      <c r="AP2267"/>
      <c r="AQ2267"/>
      <c r="AR2267"/>
      <c r="AS2267"/>
      <c r="AT2267"/>
      <c r="AU2267"/>
    </row>
    <row r="2268" spans="1:47" ht="18" customHeight="1" x14ac:dyDescent="0.35">
      <c r="A2268">
        <f>MATCH(B2268,STUDIES!$A$3:$A$502,0)</f>
        <v>97</v>
      </c>
      <c r="B2268" t="s">
        <v>1841</v>
      </c>
      <c r="C2268" s="456"/>
      <c r="D2268" t="s">
        <v>1849</v>
      </c>
      <c r="E2268" t="s">
        <v>1258</v>
      </c>
      <c r="F2268" s="456" t="str">
        <f>_xlfn.XLOOKUP(B2268,STUDIES!$A$3:$A$1063,STUDIES!$G$3:$G$1063,"Not Found!")</f>
        <v>A</v>
      </c>
      <c r="G2268" s="456" t="s">
        <v>147</v>
      </c>
      <c r="H2268">
        <v>16</v>
      </c>
      <c r="I2268">
        <v>40</v>
      </c>
      <c r="J2268">
        <v>32</v>
      </c>
      <c r="K2268"/>
      <c r="L2268"/>
      <c r="M2268"/>
      <c r="N2268"/>
      <c r="O2268"/>
      <c r="P2268"/>
      <c r="Q2268"/>
      <c r="R2268"/>
      <c r="S2268"/>
      <c r="T2268"/>
      <c r="U2268"/>
      <c r="V2268"/>
      <c r="W2268"/>
      <c r="X2268"/>
      <c r="Y2268"/>
      <c r="Z2268"/>
      <c r="AA2268"/>
      <c r="AB2268"/>
      <c r="AC2268"/>
      <c r="AD2268"/>
      <c r="AE2268"/>
      <c r="AF2268"/>
      <c r="AG2268"/>
      <c r="AH2268"/>
      <c r="AI2268"/>
      <c r="AJ2268"/>
      <c r="AK2268"/>
      <c r="AL2268"/>
      <c r="AM2268"/>
      <c r="AN2268"/>
      <c r="AO2268"/>
      <c r="AP2268"/>
      <c r="AQ2268"/>
      <c r="AR2268"/>
      <c r="AS2268"/>
      <c r="AT2268"/>
      <c r="AU2268"/>
    </row>
    <row r="2269" spans="1:47" ht="18" customHeight="1" x14ac:dyDescent="0.35">
      <c r="A2269">
        <f>MATCH(B2269,STUDIES!$A$3:$A$502,0)</f>
        <v>97</v>
      </c>
      <c r="B2269" t="s">
        <v>1841</v>
      </c>
      <c r="C2269" s="456"/>
      <c r="D2269" t="s">
        <v>148</v>
      </c>
      <c r="E2269" t="s">
        <v>1258</v>
      </c>
      <c r="F2269" s="456" t="str">
        <f>_xlfn.XLOOKUP(B2269,STUDIES!$A$3:$A$1063,STUDIES!$G$3:$G$1063,"Not Found!")</f>
        <v>A</v>
      </c>
      <c r="G2269" s="456" t="s">
        <v>147</v>
      </c>
      <c r="H2269">
        <v>16</v>
      </c>
      <c r="I2269">
        <v>40</v>
      </c>
      <c r="J2269">
        <v>21</v>
      </c>
      <c r="K2269"/>
      <c r="L2269"/>
      <c r="M2269"/>
      <c r="N2269"/>
      <c r="O2269"/>
      <c r="P2269"/>
      <c r="Q2269"/>
      <c r="R2269"/>
      <c r="S2269"/>
      <c r="T2269"/>
      <c r="U2269"/>
      <c r="V2269"/>
      <c r="W2269"/>
      <c r="X2269"/>
      <c r="Y2269"/>
      <c r="Z2269"/>
      <c r="AA2269"/>
      <c r="AB2269"/>
      <c r="AC2269"/>
      <c r="AD2269"/>
      <c r="AE2269"/>
      <c r="AF2269"/>
      <c r="AG2269"/>
      <c r="AH2269"/>
      <c r="AI2269"/>
      <c r="AJ2269"/>
      <c r="AK2269"/>
      <c r="AL2269"/>
      <c r="AM2269"/>
      <c r="AN2269"/>
      <c r="AO2269"/>
      <c r="AP2269"/>
      <c r="AQ2269"/>
      <c r="AR2269"/>
      <c r="AS2269"/>
      <c r="AT2269"/>
      <c r="AU2269"/>
    </row>
    <row r="2270" spans="1:47" s="440" customFormat="1" ht="18" customHeight="1" x14ac:dyDescent="0.35">
      <c r="A2270">
        <f>MATCH(B2270,STUDIES!$A$3:$A$502,0)</f>
        <v>97</v>
      </c>
      <c r="B2270" t="s">
        <v>1841</v>
      </c>
      <c r="C2270" s="456"/>
      <c r="D2270" t="s">
        <v>1848</v>
      </c>
      <c r="E2270" t="s">
        <v>695</v>
      </c>
      <c r="F2270" s="456" t="str">
        <f>_xlfn.XLOOKUP(B2270,STUDIES!$A$3:$A$1063,STUDIES!$G$3:$G$1063,"Not Found!")</f>
        <v>A</v>
      </c>
      <c r="G2270" s="456" t="s">
        <v>147</v>
      </c>
      <c r="H2270">
        <v>16</v>
      </c>
      <c r="I2270">
        <v>40</v>
      </c>
      <c r="J2270"/>
      <c r="K2270">
        <v>7.38</v>
      </c>
      <c r="L2270"/>
      <c r="M2270">
        <v>1.62</v>
      </c>
      <c r="N2270"/>
      <c r="O2270"/>
      <c r="P2270"/>
      <c r="Q2270"/>
      <c r="R2270"/>
      <c r="S2270"/>
      <c r="T2270"/>
      <c r="U2270"/>
      <c r="V2270"/>
      <c r="W2270"/>
      <c r="X2270"/>
      <c r="Y2270"/>
      <c r="Z2270"/>
      <c r="AA2270"/>
      <c r="AB2270"/>
      <c r="AC2270"/>
      <c r="AD2270"/>
      <c r="AE2270"/>
      <c r="AF2270"/>
      <c r="AG2270"/>
      <c r="AH2270"/>
      <c r="AI2270"/>
      <c r="AJ2270">
        <v>-47.6</v>
      </c>
      <c r="AK2270">
        <v>5.8</v>
      </c>
      <c r="AL2270"/>
      <c r="AM2270"/>
      <c r="AN2270"/>
      <c r="AO2270"/>
      <c r="AP2270"/>
      <c r="AQ2270"/>
      <c r="AR2270"/>
      <c r="AS2270"/>
      <c r="AT2270"/>
      <c r="AU2270"/>
    </row>
    <row r="2271" spans="1:47" s="440" customFormat="1" ht="18" customHeight="1" x14ac:dyDescent="0.35">
      <c r="A2271">
        <f>MATCH(B2271,STUDIES!$A$3:$A$502,0)</f>
        <v>97</v>
      </c>
      <c r="B2271" t="s">
        <v>1841</v>
      </c>
      <c r="C2271" s="456"/>
      <c r="D2271" t="s">
        <v>1849</v>
      </c>
      <c r="E2271" t="s">
        <v>695</v>
      </c>
      <c r="F2271" s="456" t="str">
        <f>_xlfn.XLOOKUP(B2271,STUDIES!$A$3:$A$1063,STUDIES!$G$3:$G$1063,"Not Found!")</f>
        <v>A</v>
      </c>
      <c r="G2271" s="456" t="s">
        <v>147</v>
      </c>
      <c r="H2271">
        <v>16</v>
      </c>
      <c r="I2271">
        <v>40</v>
      </c>
      <c r="J2271"/>
      <c r="K2271">
        <v>7.48</v>
      </c>
      <c r="L2271"/>
      <c r="M2271">
        <v>1.38</v>
      </c>
      <c r="N2271"/>
      <c r="O2271"/>
      <c r="P2271"/>
      <c r="Q2271"/>
      <c r="R2271"/>
      <c r="S2271"/>
      <c r="T2271"/>
      <c r="U2271"/>
      <c r="V2271"/>
      <c r="W2271"/>
      <c r="X2271"/>
      <c r="Y2271"/>
      <c r="Z2271"/>
      <c r="AA2271"/>
      <c r="AB2271"/>
      <c r="AC2271"/>
      <c r="AD2271"/>
      <c r="AE2271"/>
      <c r="AF2271"/>
      <c r="AG2271"/>
      <c r="AH2271"/>
      <c r="AI2271"/>
      <c r="AJ2271">
        <v>-33</v>
      </c>
      <c r="AK2271">
        <v>5.8</v>
      </c>
      <c r="AL2271"/>
      <c r="AM2271"/>
      <c r="AN2271"/>
      <c r="AO2271"/>
      <c r="AP2271"/>
      <c r="AQ2271"/>
      <c r="AR2271"/>
      <c r="AS2271"/>
      <c r="AT2271"/>
      <c r="AU2271"/>
    </row>
    <row r="2272" spans="1:47" s="440" customFormat="1" ht="18" customHeight="1" x14ac:dyDescent="0.35">
      <c r="A2272">
        <f>MATCH(B2272,STUDIES!$A$3:$A$502,0)</f>
        <v>97</v>
      </c>
      <c r="B2272" t="s">
        <v>1841</v>
      </c>
      <c r="C2272" s="456"/>
      <c r="D2272" t="s">
        <v>148</v>
      </c>
      <c r="E2272" t="s">
        <v>695</v>
      </c>
      <c r="F2272" s="456" t="str">
        <f>_xlfn.XLOOKUP(B2272,STUDIES!$A$3:$A$1063,STUDIES!$G$3:$G$1063,"Not Found!")</f>
        <v>A</v>
      </c>
      <c r="G2272" s="456" t="s">
        <v>147</v>
      </c>
      <c r="H2272">
        <v>16</v>
      </c>
      <c r="I2272">
        <v>40</v>
      </c>
      <c r="J2272"/>
      <c r="K2272">
        <v>7.42</v>
      </c>
      <c r="L2272"/>
      <c r="M2272">
        <v>1.62</v>
      </c>
      <c r="N2272"/>
      <c r="O2272"/>
      <c r="P2272"/>
      <c r="Q2272"/>
      <c r="R2272"/>
      <c r="S2272"/>
      <c r="T2272"/>
      <c r="U2272"/>
      <c r="V2272"/>
      <c r="W2272"/>
      <c r="X2272"/>
      <c r="Y2272"/>
      <c r="Z2272"/>
      <c r="AA2272"/>
      <c r="AB2272"/>
      <c r="AC2272"/>
      <c r="AD2272"/>
      <c r="AE2272"/>
      <c r="AF2272"/>
      <c r="AG2272"/>
      <c r="AH2272"/>
      <c r="AI2272"/>
      <c r="AJ2272">
        <v>-17.100000000000001</v>
      </c>
      <c r="AK2272">
        <v>6.4</v>
      </c>
      <c r="AL2272"/>
      <c r="AM2272"/>
      <c r="AN2272"/>
      <c r="AO2272"/>
      <c r="AP2272"/>
      <c r="AQ2272"/>
      <c r="AR2272"/>
      <c r="AS2272"/>
      <c r="AT2272"/>
      <c r="AU2272"/>
    </row>
    <row r="2273" spans="1:47" ht="18" customHeight="1" x14ac:dyDescent="0.35">
      <c r="A2273">
        <f>MATCH(B2273,STUDIES!$A$3:$A$502,0)</f>
        <v>97</v>
      </c>
      <c r="B2273" t="s">
        <v>1841</v>
      </c>
      <c r="C2273" s="456"/>
      <c r="D2273" t="s">
        <v>1848</v>
      </c>
      <c r="E2273" t="s">
        <v>151</v>
      </c>
      <c r="F2273" s="456" t="str">
        <f>_xlfn.XLOOKUP(B2273,STUDIES!$A$3:$A$1063,STUDIES!$G$3:$G$1063,"Not Found!")</f>
        <v>A</v>
      </c>
      <c r="G2273" s="456" t="s">
        <v>147</v>
      </c>
      <c r="H2273">
        <v>16</v>
      </c>
      <c r="I2273">
        <v>40</v>
      </c>
      <c r="J2273"/>
      <c r="K2273">
        <v>26.25</v>
      </c>
      <c r="L2273"/>
      <c r="M2273">
        <v>10.41</v>
      </c>
      <c r="N2273"/>
      <c r="O2273"/>
      <c r="P2273"/>
      <c r="Q2273"/>
      <c r="R2273"/>
      <c r="S2273"/>
      <c r="T2273"/>
      <c r="U2273"/>
      <c r="V2273"/>
      <c r="W2273"/>
      <c r="X2273"/>
      <c r="Y2273"/>
      <c r="Z2273"/>
      <c r="AA2273"/>
      <c r="AB2273"/>
      <c r="AC2273"/>
      <c r="AD2273"/>
      <c r="AE2273"/>
      <c r="AF2273"/>
      <c r="AG2273"/>
      <c r="AH2273"/>
      <c r="AI2273"/>
      <c r="AJ2273">
        <v>-81.900000000000006</v>
      </c>
      <c r="AK2273">
        <v>5.2</v>
      </c>
      <c r="AL2273"/>
      <c r="AM2273"/>
      <c r="AN2273"/>
      <c r="AO2273"/>
      <c r="AP2273"/>
      <c r="AQ2273"/>
      <c r="AR2273"/>
      <c r="AS2273"/>
      <c r="AT2273"/>
      <c r="AU2273"/>
    </row>
    <row r="2274" spans="1:47" ht="18" customHeight="1" x14ac:dyDescent="0.35">
      <c r="A2274">
        <f>MATCH(B2274,STUDIES!$A$3:$A$502,0)</f>
        <v>97</v>
      </c>
      <c r="B2274" t="s">
        <v>1841</v>
      </c>
      <c r="C2274" s="456"/>
      <c r="D2274" t="s">
        <v>1849</v>
      </c>
      <c r="E2274" t="s">
        <v>151</v>
      </c>
      <c r="F2274" s="456" t="str">
        <f>_xlfn.XLOOKUP(B2274,STUDIES!$A$3:$A$1063,STUDIES!$G$3:$G$1063,"Not Found!")</f>
        <v>A</v>
      </c>
      <c r="G2274" s="456" t="s">
        <v>147</v>
      </c>
      <c r="H2274">
        <v>16</v>
      </c>
      <c r="I2274">
        <v>40</v>
      </c>
      <c r="J2274"/>
      <c r="K2274">
        <v>30.07</v>
      </c>
      <c r="L2274"/>
      <c r="M2274">
        <v>13.76</v>
      </c>
      <c r="N2274"/>
      <c r="O2274"/>
      <c r="P2274"/>
      <c r="Q2274"/>
      <c r="R2274"/>
      <c r="S2274"/>
      <c r="T2274"/>
      <c r="U2274"/>
      <c r="V2274"/>
      <c r="W2274"/>
      <c r="X2274"/>
      <c r="Y2274"/>
      <c r="Z2274"/>
      <c r="AA2274"/>
      <c r="AB2274"/>
      <c r="AC2274"/>
      <c r="AD2274"/>
      <c r="AE2274"/>
      <c r="AF2274"/>
      <c r="AG2274"/>
      <c r="AH2274"/>
      <c r="AI2274"/>
      <c r="AJ2274">
        <v>-70.5</v>
      </c>
      <c r="AK2274">
        <v>5.3</v>
      </c>
      <c r="AL2274"/>
      <c r="AM2274"/>
      <c r="AN2274"/>
      <c r="AO2274"/>
      <c r="AP2274"/>
      <c r="AQ2274"/>
      <c r="AR2274"/>
      <c r="AS2274"/>
      <c r="AT2274"/>
      <c r="AU2274"/>
    </row>
    <row r="2275" spans="1:47" ht="18" customHeight="1" x14ac:dyDescent="0.35">
      <c r="A2275">
        <f>MATCH(B2275,STUDIES!$A$3:$A$502,0)</f>
        <v>97</v>
      </c>
      <c r="B2275" t="s">
        <v>1841</v>
      </c>
      <c r="C2275" s="456"/>
      <c r="D2275" t="s">
        <v>148</v>
      </c>
      <c r="E2275" t="s">
        <v>151</v>
      </c>
      <c r="F2275" s="456" t="str">
        <f>_xlfn.XLOOKUP(B2275,STUDIES!$A$3:$A$1063,STUDIES!$G$3:$G$1063,"Not Found!")</f>
        <v>A</v>
      </c>
      <c r="G2275" s="456" t="s">
        <v>147</v>
      </c>
      <c r="H2275">
        <v>16</v>
      </c>
      <c r="I2275">
        <v>40</v>
      </c>
      <c r="J2275"/>
      <c r="K2275">
        <v>26.28</v>
      </c>
      <c r="L2275"/>
      <c r="M2275">
        <v>11.14</v>
      </c>
      <c r="N2275"/>
      <c r="O2275"/>
      <c r="P2275"/>
      <c r="Q2275"/>
      <c r="R2275"/>
      <c r="S2275"/>
      <c r="T2275"/>
      <c r="U2275"/>
      <c r="V2275"/>
      <c r="W2275"/>
      <c r="X2275"/>
      <c r="Y2275"/>
      <c r="Z2275"/>
      <c r="AA2275"/>
      <c r="AB2275"/>
      <c r="AC2275"/>
      <c r="AD2275"/>
      <c r="AE2275"/>
      <c r="AF2275"/>
      <c r="AG2275"/>
      <c r="AH2275"/>
      <c r="AI2275"/>
      <c r="AJ2275">
        <v>-51.2</v>
      </c>
      <c r="AK2275">
        <v>5.9</v>
      </c>
      <c r="AL2275"/>
      <c r="AM2275"/>
      <c r="AN2275"/>
      <c r="AO2275"/>
      <c r="AP2275"/>
      <c r="AQ2275"/>
      <c r="AR2275"/>
      <c r="AS2275"/>
      <c r="AT2275"/>
      <c r="AU2275"/>
    </row>
    <row r="2276" spans="1:47" ht="18" customHeight="1" x14ac:dyDescent="0.35">
      <c r="A2276">
        <f>MATCH(B2276,STUDIES!$A$3:$A$502,0)</f>
        <v>97</v>
      </c>
      <c r="B2276" t="s">
        <v>1841</v>
      </c>
      <c r="C2276" s="456"/>
      <c r="D2276" t="s">
        <v>1848</v>
      </c>
      <c r="E2276" t="s">
        <v>154</v>
      </c>
      <c r="F2276" s="456" t="str">
        <f>_xlfn.XLOOKUP(B2276,STUDIES!$A$3:$A$1063,STUDIES!$G$3:$G$1063,"Not Found!")</f>
        <v>A</v>
      </c>
      <c r="G2276" s="456" t="s">
        <v>147</v>
      </c>
      <c r="H2276">
        <v>16</v>
      </c>
      <c r="I2276">
        <v>40</v>
      </c>
      <c r="J2276"/>
      <c r="K2276"/>
      <c r="L2276"/>
      <c r="M2276"/>
      <c r="N2276"/>
      <c r="O2276"/>
      <c r="P2276"/>
      <c r="Q2276"/>
      <c r="R2276">
        <v>-10.3</v>
      </c>
      <c r="S2276">
        <v>1.1000000000000001</v>
      </c>
      <c r="T2276"/>
      <c r="U2276"/>
      <c r="V2276"/>
      <c r="W2276"/>
      <c r="X2276"/>
      <c r="Y2276"/>
      <c r="Z2276"/>
      <c r="AA2276"/>
      <c r="AB2276"/>
      <c r="AC2276"/>
      <c r="AD2276"/>
      <c r="AE2276"/>
      <c r="AF2276"/>
      <c r="AG2276"/>
      <c r="AH2276"/>
      <c r="AI2276"/>
      <c r="AJ2276"/>
      <c r="AK2276"/>
      <c r="AL2276"/>
      <c r="AM2276"/>
      <c r="AN2276"/>
      <c r="AO2276"/>
      <c r="AP2276"/>
      <c r="AQ2276"/>
      <c r="AR2276"/>
      <c r="AS2276"/>
      <c r="AT2276"/>
      <c r="AU2276"/>
    </row>
    <row r="2277" spans="1:47" ht="18" customHeight="1" x14ac:dyDescent="0.35">
      <c r="A2277">
        <f>MATCH(B2277,STUDIES!$A$3:$A$502,0)</f>
        <v>97</v>
      </c>
      <c r="B2277" t="s">
        <v>1841</v>
      </c>
      <c r="C2277" s="456"/>
      <c r="D2277" t="s">
        <v>1849</v>
      </c>
      <c r="E2277" t="s">
        <v>154</v>
      </c>
      <c r="F2277" s="456" t="str">
        <f>_xlfn.XLOOKUP(B2277,STUDIES!$A$3:$A$1063,STUDIES!$G$3:$G$1063,"Not Found!")</f>
        <v>A</v>
      </c>
      <c r="G2277" s="456" t="s">
        <v>147</v>
      </c>
      <c r="H2277">
        <v>16</v>
      </c>
      <c r="I2277">
        <v>40</v>
      </c>
      <c r="J2277"/>
      <c r="K2277"/>
      <c r="L2277"/>
      <c r="M2277"/>
      <c r="N2277"/>
      <c r="O2277"/>
      <c r="P2277"/>
      <c r="Q2277"/>
      <c r="R2277">
        <v>-6.5</v>
      </c>
      <c r="S2277">
        <v>1.1000000000000001</v>
      </c>
      <c r="T2277"/>
      <c r="U2277"/>
      <c r="V2277"/>
      <c r="W2277"/>
      <c r="X2277"/>
      <c r="Y2277"/>
      <c r="Z2277"/>
      <c r="AA2277"/>
      <c r="AB2277"/>
      <c r="AC2277"/>
      <c r="AD2277"/>
      <c r="AE2277"/>
      <c r="AF2277"/>
      <c r="AG2277"/>
      <c r="AH2277"/>
      <c r="AI2277"/>
      <c r="AJ2277"/>
      <c r="AK2277"/>
      <c r="AL2277"/>
      <c r="AM2277"/>
      <c r="AN2277"/>
      <c r="AO2277"/>
      <c r="AP2277"/>
      <c r="AQ2277"/>
      <c r="AR2277"/>
      <c r="AS2277"/>
      <c r="AT2277"/>
      <c r="AU2277"/>
    </row>
    <row r="2278" spans="1:47" ht="18" customHeight="1" x14ac:dyDescent="0.35">
      <c r="A2278">
        <f>MATCH(B2278,STUDIES!$A$3:$A$502,0)</f>
        <v>97</v>
      </c>
      <c r="B2278" t="s">
        <v>1841</v>
      </c>
      <c r="C2278" s="456"/>
      <c r="D2278" t="s">
        <v>148</v>
      </c>
      <c r="E2278" t="s">
        <v>154</v>
      </c>
      <c r="F2278" s="456" t="str">
        <f>_xlfn.XLOOKUP(B2278,STUDIES!$A$3:$A$1063,STUDIES!$G$3:$G$1063,"Not Found!")</f>
        <v>A</v>
      </c>
      <c r="G2278" s="456" t="s">
        <v>147</v>
      </c>
      <c r="H2278">
        <v>16</v>
      </c>
      <c r="I2278">
        <v>40</v>
      </c>
      <c r="J2278"/>
      <c r="K2278"/>
      <c r="L2278"/>
      <c r="M2278"/>
      <c r="N2278"/>
      <c r="O2278"/>
      <c r="P2278"/>
      <c r="Q2278"/>
      <c r="R2278">
        <v>-4.0999999999999996</v>
      </c>
      <c r="S2278">
        <v>1.2</v>
      </c>
      <c r="T2278"/>
      <c r="U2278"/>
      <c r="V2278"/>
      <c r="W2278"/>
      <c r="X2278"/>
      <c r="Y2278"/>
      <c r="Z2278"/>
      <c r="AA2278"/>
      <c r="AB2278"/>
      <c r="AC2278"/>
      <c r="AD2278"/>
      <c r="AE2278"/>
      <c r="AF2278"/>
      <c r="AG2278"/>
      <c r="AH2278"/>
      <c r="AI2278"/>
      <c r="AJ2278"/>
      <c r="AK2278"/>
      <c r="AL2278"/>
      <c r="AM2278"/>
      <c r="AN2278"/>
      <c r="AO2278"/>
      <c r="AP2278"/>
      <c r="AQ2278"/>
      <c r="AR2278"/>
      <c r="AS2278"/>
      <c r="AT2278"/>
      <c r="AU2278"/>
    </row>
    <row r="2279" spans="1:47" ht="18" customHeight="1" x14ac:dyDescent="0.35">
      <c r="A2279">
        <f>MATCH(B2279,STUDIES!$A$3:$A$502,0)</f>
        <v>97</v>
      </c>
      <c r="B2279" t="s">
        <v>1841</v>
      </c>
      <c r="C2279" s="456"/>
      <c r="D2279" t="s">
        <v>1848</v>
      </c>
      <c r="E2279" t="s">
        <v>1163</v>
      </c>
      <c r="F2279" s="456" t="str">
        <f>_xlfn.XLOOKUP(B2279,STUDIES!$A$3:$A$1063,STUDIES!$G$3:$G$1063,"Not Found!")</f>
        <v>A</v>
      </c>
      <c r="G2279" s="456" t="s">
        <v>147</v>
      </c>
      <c r="H2279">
        <v>16</v>
      </c>
      <c r="I2279">
        <v>40</v>
      </c>
      <c r="J2279">
        <v>0</v>
      </c>
      <c r="K2279"/>
      <c r="L2279"/>
      <c r="M2279"/>
      <c r="N2279"/>
      <c r="O2279"/>
      <c r="P2279"/>
      <c r="Q2279"/>
      <c r="R2279"/>
      <c r="S2279"/>
      <c r="T2279"/>
      <c r="U2279"/>
      <c r="V2279"/>
      <c r="W2279"/>
      <c r="X2279"/>
      <c r="Y2279"/>
      <c r="Z2279"/>
      <c r="AA2279"/>
      <c r="AB2279"/>
      <c r="AC2279"/>
      <c r="AD2279"/>
      <c r="AE2279"/>
      <c r="AF2279"/>
      <c r="AG2279"/>
      <c r="AH2279"/>
      <c r="AI2279"/>
      <c r="AJ2279"/>
      <c r="AK2279"/>
      <c r="AL2279"/>
      <c r="AM2279"/>
      <c r="AN2279"/>
      <c r="AO2279"/>
      <c r="AP2279"/>
      <c r="AQ2279"/>
      <c r="AR2279"/>
      <c r="AS2279"/>
      <c r="AT2279"/>
      <c r="AU2279"/>
    </row>
    <row r="2280" spans="1:47" ht="18" customHeight="1" x14ac:dyDescent="0.35">
      <c r="A2280">
        <f>MATCH(B2280,STUDIES!$A$3:$A$502,0)</f>
        <v>97</v>
      </c>
      <c r="B2280" t="s">
        <v>1841</v>
      </c>
      <c r="C2280" s="456"/>
      <c r="D2280" t="s">
        <v>1849</v>
      </c>
      <c r="E2280" t="s">
        <v>1163</v>
      </c>
      <c r="F2280" s="456" t="str">
        <f>_xlfn.XLOOKUP(B2280,STUDIES!$A$3:$A$1063,STUDIES!$G$3:$G$1063,"Not Found!")</f>
        <v>A</v>
      </c>
      <c r="G2280" s="456" t="s">
        <v>147</v>
      </c>
      <c r="H2280">
        <v>16</v>
      </c>
      <c r="I2280">
        <v>40</v>
      </c>
      <c r="J2280">
        <v>1</v>
      </c>
      <c r="K2280"/>
      <c r="L2280"/>
      <c r="M2280"/>
      <c r="N2280"/>
      <c r="O2280"/>
      <c r="P2280"/>
      <c r="Q2280"/>
      <c r="R2280"/>
      <c r="S2280"/>
      <c r="T2280"/>
      <c r="U2280"/>
      <c r="V2280"/>
      <c r="W2280"/>
      <c r="X2280"/>
      <c r="Y2280"/>
      <c r="Z2280"/>
      <c r="AA2280"/>
      <c r="AB2280"/>
      <c r="AC2280"/>
      <c r="AD2280"/>
      <c r="AE2280"/>
      <c r="AF2280"/>
      <c r="AG2280"/>
      <c r="AH2280"/>
      <c r="AI2280"/>
      <c r="AJ2280"/>
      <c r="AK2280"/>
      <c r="AL2280"/>
      <c r="AM2280"/>
      <c r="AN2280"/>
      <c r="AO2280"/>
      <c r="AP2280"/>
      <c r="AQ2280"/>
      <c r="AR2280"/>
      <c r="AS2280"/>
      <c r="AT2280"/>
      <c r="AU2280"/>
    </row>
    <row r="2281" spans="1:47" ht="18" customHeight="1" x14ac:dyDescent="0.35">
      <c r="A2281">
        <f>MATCH(B2281,STUDIES!$A$3:$A$502,0)</f>
        <v>97</v>
      </c>
      <c r="B2281" t="s">
        <v>1841</v>
      </c>
      <c r="C2281" s="456"/>
      <c r="D2281" t="s">
        <v>148</v>
      </c>
      <c r="E2281" t="s">
        <v>1163</v>
      </c>
      <c r="F2281" s="456" t="str">
        <f>_xlfn.XLOOKUP(B2281,STUDIES!$A$3:$A$1063,STUDIES!$G$3:$G$1063,"Not Found!")</f>
        <v>A</v>
      </c>
      <c r="G2281" s="456" t="s">
        <v>147</v>
      </c>
      <c r="H2281">
        <v>16</v>
      </c>
      <c r="I2281">
        <v>40</v>
      </c>
      <c r="J2281">
        <v>2</v>
      </c>
      <c r="K2281"/>
      <c r="L2281"/>
      <c r="M2281"/>
      <c r="N2281"/>
      <c r="O2281"/>
      <c r="P2281"/>
      <c r="Q2281"/>
      <c r="R2281"/>
      <c r="S2281"/>
      <c r="T2281"/>
      <c r="U2281"/>
      <c r="V2281"/>
      <c r="W2281"/>
      <c r="X2281"/>
      <c r="Y2281"/>
      <c r="Z2281"/>
      <c r="AA2281"/>
      <c r="AB2281"/>
      <c r="AC2281"/>
      <c r="AD2281"/>
      <c r="AE2281"/>
      <c r="AF2281"/>
      <c r="AG2281"/>
      <c r="AH2281"/>
      <c r="AI2281"/>
      <c r="AJ2281"/>
      <c r="AK2281"/>
      <c r="AL2281"/>
      <c r="AM2281"/>
      <c r="AN2281"/>
      <c r="AO2281"/>
      <c r="AP2281"/>
      <c r="AQ2281"/>
      <c r="AR2281"/>
      <c r="AS2281"/>
      <c r="AT2281"/>
      <c r="AU2281"/>
    </row>
    <row r="2282" spans="1:47" ht="18" customHeight="1" x14ac:dyDescent="0.35">
      <c r="A2282">
        <f>MATCH(B2282,STUDIES!$A$3:$A$502,0)</f>
        <v>97</v>
      </c>
      <c r="B2282" t="s">
        <v>1841</v>
      </c>
      <c r="C2282" s="456"/>
      <c r="D2282" t="s">
        <v>1848</v>
      </c>
      <c r="E2282" t="s">
        <v>1167</v>
      </c>
      <c r="F2282" s="456" t="str">
        <f>_xlfn.XLOOKUP(B2282,STUDIES!$A$3:$A$1063,STUDIES!$G$3:$G$1063,"Not Found!")</f>
        <v>A</v>
      </c>
      <c r="G2282" s="456" t="s">
        <v>147</v>
      </c>
      <c r="H2282">
        <v>16</v>
      </c>
      <c r="I2282">
        <v>40</v>
      </c>
      <c r="J2282">
        <v>0</v>
      </c>
      <c r="K2282"/>
      <c r="L2282"/>
      <c r="M2282"/>
      <c r="N2282"/>
      <c r="O2282"/>
      <c r="P2282"/>
      <c r="Q2282"/>
      <c r="R2282"/>
      <c r="S2282"/>
      <c r="T2282"/>
      <c r="U2282"/>
      <c r="V2282"/>
      <c r="W2282"/>
      <c r="X2282"/>
      <c r="Y2282"/>
      <c r="Z2282"/>
      <c r="AA2282"/>
      <c r="AB2282"/>
      <c r="AC2282"/>
      <c r="AD2282"/>
      <c r="AE2282"/>
      <c r="AF2282"/>
      <c r="AG2282"/>
      <c r="AH2282"/>
      <c r="AI2282"/>
      <c r="AJ2282"/>
      <c r="AK2282"/>
      <c r="AL2282"/>
      <c r="AM2282"/>
      <c r="AN2282"/>
      <c r="AO2282"/>
      <c r="AP2282"/>
      <c r="AQ2282"/>
      <c r="AR2282"/>
      <c r="AS2282"/>
      <c r="AT2282"/>
      <c r="AU2282"/>
    </row>
    <row r="2283" spans="1:47" ht="18" customHeight="1" x14ac:dyDescent="0.35">
      <c r="A2283">
        <f>MATCH(B2283,STUDIES!$A$3:$A$502,0)</f>
        <v>97</v>
      </c>
      <c r="B2283" t="s">
        <v>1841</v>
      </c>
      <c r="C2283" s="456"/>
      <c r="D2283" t="s">
        <v>1849</v>
      </c>
      <c r="E2283" t="s">
        <v>1167</v>
      </c>
      <c r="F2283" s="456" t="str">
        <f>_xlfn.XLOOKUP(B2283,STUDIES!$A$3:$A$1063,STUDIES!$G$3:$G$1063,"Not Found!")</f>
        <v>A</v>
      </c>
      <c r="G2283" s="456" t="s">
        <v>147</v>
      </c>
      <c r="H2283">
        <v>16</v>
      </c>
      <c r="I2283">
        <v>40</v>
      </c>
      <c r="J2283">
        <v>1</v>
      </c>
      <c r="K2283"/>
      <c r="L2283"/>
      <c r="M2283"/>
      <c r="N2283"/>
      <c r="O2283"/>
      <c r="P2283"/>
      <c r="Q2283"/>
      <c r="R2283"/>
      <c r="S2283"/>
      <c r="T2283"/>
      <c r="U2283"/>
      <c r="V2283"/>
      <c r="W2283"/>
      <c r="X2283"/>
      <c r="Y2283"/>
      <c r="Z2283"/>
      <c r="AA2283"/>
      <c r="AB2283"/>
      <c r="AC2283"/>
      <c r="AD2283"/>
      <c r="AE2283"/>
      <c r="AF2283"/>
      <c r="AG2283"/>
      <c r="AH2283"/>
      <c r="AI2283"/>
      <c r="AJ2283"/>
      <c r="AK2283"/>
      <c r="AL2283"/>
      <c r="AM2283"/>
      <c r="AN2283"/>
      <c r="AO2283"/>
      <c r="AP2283"/>
      <c r="AQ2283"/>
      <c r="AR2283"/>
      <c r="AS2283"/>
      <c r="AT2283"/>
      <c r="AU2283"/>
    </row>
    <row r="2284" spans="1:47" ht="18" customHeight="1" x14ac:dyDescent="0.35">
      <c r="A2284">
        <f>MATCH(B2284,STUDIES!$A$3:$A$502,0)</f>
        <v>97</v>
      </c>
      <c r="B2284" t="s">
        <v>1841</v>
      </c>
      <c r="C2284" s="456"/>
      <c r="D2284" t="s">
        <v>148</v>
      </c>
      <c r="E2284" t="s">
        <v>1167</v>
      </c>
      <c r="F2284" s="456" t="str">
        <f>_xlfn.XLOOKUP(B2284,STUDIES!$A$3:$A$1063,STUDIES!$G$3:$G$1063,"Not Found!")</f>
        <v>A</v>
      </c>
      <c r="G2284" s="456" t="s">
        <v>147</v>
      </c>
      <c r="H2284">
        <v>16</v>
      </c>
      <c r="I2284">
        <v>40</v>
      </c>
      <c r="J2284">
        <v>0</v>
      </c>
      <c r="K2284"/>
      <c r="L2284"/>
      <c r="M2284"/>
      <c r="N2284"/>
      <c r="O2284"/>
      <c r="P2284"/>
      <c r="Q2284"/>
      <c r="R2284"/>
      <c r="S2284"/>
      <c r="T2284"/>
      <c r="U2284"/>
      <c r="V2284"/>
      <c r="W2284"/>
      <c r="X2284"/>
      <c r="Y2284"/>
      <c r="Z2284"/>
      <c r="AA2284"/>
      <c r="AB2284"/>
      <c r="AC2284"/>
      <c r="AD2284"/>
      <c r="AE2284"/>
      <c r="AF2284"/>
      <c r="AG2284"/>
      <c r="AH2284"/>
      <c r="AI2284"/>
      <c r="AJ2284"/>
      <c r="AK2284"/>
      <c r="AL2284"/>
      <c r="AM2284"/>
      <c r="AN2284"/>
      <c r="AO2284"/>
      <c r="AP2284"/>
      <c r="AQ2284"/>
      <c r="AR2284"/>
      <c r="AS2284"/>
      <c r="AT2284"/>
      <c r="AU2284"/>
    </row>
    <row r="2285" spans="1:47" ht="18" customHeight="1" x14ac:dyDescent="0.35">
      <c r="A2285" s="274">
        <f>MATCH(B2285,STUDIES!$A$3:$A$502,0)</f>
        <v>69</v>
      </c>
      <c r="B2285" s="86" t="s">
        <v>1866</v>
      </c>
      <c r="D2285" s="232" t="s">
        <v>1870</v>
      </c>
      <c r="E2285" s="272" t="s">
        <v>1163</v>
      </c>
      <c r="F2285" s="155" t="str">
        <f>_xlfn.XLOOKUP(B2285,STUDIES!$A$3:$A$1063,STUDIES!$G$3:$G$1063,"Not Found!")</f>
        <v>A</v>
      </c>
      <c r="G2285" s="273" t="s">
        <v>147</v>
      </c>
      <c r="H2285" s="273">
        <v>16</v>
      </c>
      <c r="I2285" s="273">
        <v>76</v>
      </c>
      <c r="J2285" s="274">
        <v>3</v>
      </c>
    </row>
    <row r="2286" spans="1:47" ht="18" customHeight="1" x14ac:dyDescent="0.35">
      <c r="A2286" s="274">
        <f>MATCH(B2286,STUDIES!$A$3:$A$502,0)</f>
        <v>69</v>
      </c>
      <c r="B2286" s="86" t="s">
        <v>1866</v>
      </c>
      <c r="D2286" s="232" t="s">
        <v>1871</v>
      </c>
      <c r="E2286" s="272" t="s">
        <v>1163</v>
      </c>
      <c r="F2286" s="155" t="str">
        <f>_xlfn.XLOOKUP(B2286,STUDIES!$A$3:$A$1063,STUDIES!$G$3:$G$1063,"Not Found!")</f>
        <v>A</v>
      </c>
      <c r="G2286" s="273" t="s">
        <v>147</v>
      </c>
      <c r="H2286" s="273">
        <v>16</v>
      </c>
      <c r="I2286" s="273">
        <v>78</v>
      </c>
      <c r="J2286" s="274">
        <v>2</v>
      </c>
    </row>
    <row r="2287" spans="1:47" ht="18" customHeight="1" x14ac:dyDescent="0.35">
      <c r="A2287" s="274">
        <f>MATCH(B2287,STUDIES!$A$3:$A$502,0)</f>
        <v>69</v>
      </c>
      <c r="B2287" s="86" t="s">
        <v>1866</v>
      </c>
      <c r="D2287" s="232" t="s">
        <v>1872</v>
      </c>
      <c r="E2287" s="272" t="s">
        <v>1163</v>
      </c>
      <c r="F2287" s="155" t="str">
        <f>_xlfn.XLOOKUP(B2287,STUDIES!$A$3:$A$1063,STUDIES!$G$3:$G$1063,"Not Found!")</f>
        <v>A</v>
      </c>
      <c r="G2287" s="273" t="s">
        <v>147</v>
      </c>
      <c r="H2287" s="273">
        <v>16</v>
      </c>
      <c r="I2287" s="273">
        <v>77</v>
      </c>
      <c r="J2287" s="274">
        <v>2</v>
      </c>
    </row>
    <row r="2288" spans="1:47" ht="18" customHeight="1" x14ac:dyDescent="0.35">
      <c r="A2288" s="274">
        <f>MATCH(B2288,STUDIES!$A$3:$A$502,0)</f>
        <v>69</v>
      </c>
      <c r="B2288" s="86" t="s">
        <v>1866</v>
      </c>
      <c r="D2288" s="281" t="s">
        <v>148</v>
      </c>
      <c r="E2288" s="272" t="s">
        <v>1163</v>
      </c>
      <c r="F2288" s="155" t="str">
        <f>_xlfn.XLOOKUP(B2288,STUDIES!$A$3:$A$1063,STUDIES!$G$3:$G$1063,"Not Found!")</f>
        <v>A</v>
      </c>
      <c r="G2288" s="273" t="s">
        <v>147</v>
      </c>
      <c r="H2288" s="273">
        <v>16</v>
      </c>
      <c r="I2288" s="273">
        <v>80</v>
      </c>
      <c r="J2288" s="274">
        <v>1</v>
      </c>
    </row>
    <row r="2289" spans="1:26" ht="18" customHeight="1" x14ac:dyDescent="0.35">
      <c r="A2289" s="274">
        <f>MATCH(B2289,STUDIES!$A$3:$A$502,0)</f>
        <v>69</v>
      </c>
      <c r="B2289" s="86" t="s">
        <v>1866</v>
      </c>
      <c r="D2289" s="232" t="s">
        <v>1870</v>
      </c>
      <c r="E2289" s="272" t="s">
        <v>1167</v>
      </c>
      <c r="F2289" s="155" t="str">
        <f>_xlfn.XLOOKUP(B2289,STUDIES!$A$3:$A$1063,STUDIES!$G$3:$G$1063,"Not Found!")</f>
        <v>A</v>
      </c>
      <c r="G2289" s="273" t="s">
        <v>147</v>
      </c>
      <c r="H2289" s="273">
        <v>16</v>
      </c>
      <c r="I2289" s="273">
        <v>76</v>
      </c>
      <c r="J2289" s="274">
        <v>1</v>
      </c>
    </row>
    <row r="2290" spans="1:26" ht="18" customHeight="1" x14ac:dyDescent="0.35">
      <c r="A2290" s="274">
        <f>MATCH(B2290,STUDIES!$A$3:$A$502,0)</f>
        <v>69</v>
      </c>
      <c r="B2290" s="86" t="s">
        <v>1866</v>
      </c>
      <c r="D2290" s="232" t="s">
        <v>1871</v>
      </c>
      <c r="E2290" s="272" t="s">
        <v>1167</v>
      </c>
      <c r="F2290" s="155" t="str">
        <f>_xlfn.XLOOKUP(B2290,STUDIES!$A$3:$A$1063,STUDIES!$G$3:$G$1063,"Not Found!")</f>
        <v>A</v>
      </c>
      <c r="G2290" s="273" t="s">
        <v>147</v>
      </c>
      <c r="H2290" s="273">
        <v>16</v>
      </c>
      <c r="I2290" s="273">
        <v>80</v>
      </c>
      <c r="J2290" s="274">
        <v>2</v>
      </c>
    </row>
    <row r="2291" spans="1:26" ht="18" customHeight="1" x14ac:dyDescent="0.35">
      <c r="A2291" s="274">
        <f>MATCH(B2291,STUDIES!$A$3:$A$502,0)</f>
        <v>69</v>
      </c>
      <c r="B2291" s="86" t="s">
        <v>1866</v>
      </c>
      <c r="D2291" s="232" t="s">
        <v>1872</v>
      </c>
      <c r="E2291" s="272" t="s">
        <v>1167</v>
      </c>
      <c r="F2291" s="155" t="str">
        <f>_xlfn.XLOOKUP(B2291,STUDIES!$A$3:$A$1063,STUDIES!$G$3:$G$1063,"Not Found!")</f>
        <v>A</v>
      </c>
      <c r="G2291" s="273" t="s">
        <v>147</v>
      </c>
      <c r="H2291" s="273">
        <v>16</v>
      </c>
      <c r="I2291" s="273">
        <v>77</v>
      </c>
      <c r="J2291" s="274">
        <v>1</v>
      </c>
    </row>
    <row r="2292" spans="1:26" ht="18" customHeight="1" x14ac:dyDescent="0.35">
      <c r="A2292" s="274">
        <f>MATCH(B2292,STUDIES!$A$3:$A$502,0)</f>
        <v>69</v>
      </c>
      <c r="B2292" s="86" t="s">
        <v>1866</v>
      </c>
      <c r="D2292" s="281" t="s">
        <v>148</v>
      </c>
      <c r="E2292" s="272" t="s">
        <v>1167</v>
      </c>
      <c r="F2292" s="155" t="str">
        <f>_xlfn.XLOOKUP(B2292,STUDIES!$A$3:$A$1063,STUDIES!$G$3:$G$1063,"Not Found!")</f>
        <v>A</v>
      </c>
      <c r="G2292" s="273" t="s">
        <v>147</v>
      </c>
      <c r="H2292" s="273">
        <v>16</v>
      </c>
      <c r="I2292" s="273">
        <v>80</v>
      </c>
      <c r="J2292" s="274">
        <v>3</v>
      </c>
    </row>
    <row r="2293" spans="1:26" ht="18" customHeight="1" x14ac:dyDescent="0.35">
      <c r="A2293" s="274">
        <f>MATCH(B2293,STUDIES!$A$3:$A$502,0)</f>
        <v>70</v>
      </c>
      <c r="B2293" s="86" t="s">
        <v>1867</v>
      </c>
      <c r="D2293" s="281" t="s">
        <v>1873</v>
      </c>
      <c r="E2293" s="272" t="s">
        <v>1163</v>
      </c>
      <c r="F2293" s="155" t="str">
        <f>_xlfn.XLOOKUP(B2293,STUDIES!$A$3:$A$1063,STUDIES!$G$3:$G$1063,"Not Found!")</f>
        <v>A</v>
      </c>
      <c r="G2293" s="273" t="s">
        <v>147</v>
      </c>
      <c r="H2293" s="273">
        <v>16</v>
      </c>
      <c r="I2293" s="273">
        <v>75</v>
      </c>
      <c r="J2293" s="274">
        <v>1</v>
      </c>
    </row>
    <row r="2294" spans="1:26" ht="18" customHeight="1" x14ac:dyDescent="0.35">
      <c r="A2294" s="274">
        <f>MATCH(B2294,STUDIES!$A$3:$A$502,0)</f>
        <v>70</v>
      </c>
      <c r="B2294" s="86" t="s">
        <v>1867</v>
      </c>
      <c r="D2294" s="281" t="s">
        <v>148</v>
      </c>
      <c r="E2294" s="272" t="s">
        <v>1163</v>
      </c>
      <c r="F2294" s="155" t="str">
        <f>_xlfn.XLOOKUP(B2294,STUDIES!$A$3:$A$1063,STUDIES!$G$3:$G$1063,"Not Found!")</f>
        <v>A</v>
      </c>
      <c r="G2294" s="273" t="s">
        <v>147</v>
      </c>
      <c r="H2294" s="273">
        <v>16</v>
      </c>
      <c r="I2294" s="273">
        <v>74</v>
      </c>
      <c r="J2294" s="274">
        <v>0</v>
      </c>
    </row>
    <row r="2295" spans="1:26" ht="18" customHeight="1" x14ac:dyDescent="0.35">
      <c r="A2295" s="274">
        <f>MATCH(B2295,STUDIES!$A$3:$A$502,0)</f>
        <v>70</v>
      </c>
      <c r="B2295" s="86" t="s">
        <v>1867</v>
      </c>
      <c r="D2295" s="281" t="s">
        <v>1873</v>
      </c>
      <c r="E2295" s="272" t="s">
        <v>1167</v>
      </c>
      <c r="F2295" s="155" t="str">
        <f>_xlfn.XLOOKUP(B2295,STUDIES!$A$3:$A$1063,STUDIES!$G$3:$G$1063,"Not Found!")</f>
        <v>A</v>
      </c>
      <c r="G2295" s="273" t="s">
        <v>147</v>
      </c>
      <c r="H2295" s="273">
        <v>16</v>
      </c>
      <c r="I2295" s="273">
        <v>75</v>
      </c>
      <c r="J2295" s="274">
        <v>0</v>
      </c>
    </row>
    <row r="2296" spans="1:26" ht="18" customHeight="1" x14ac:dyDescent="0.35">
      <c r="A2296" s="274">
        <f>MATCH(B2296,STUDIES!$A$3:$A$502,0)</f>
        <v>70</v>
      </c>
      <c r="B2296" s="86" t="s">
        <v>1867</v>
      </c>
      <c r="D2296" s="281" t="s">
        <v>148</v>
      </c>
      <c r="E2296" s="272" t="s">
        <v>1167</v>
      </c>
      <c r="F2296" s="155" t="str">
        <f>_xlfn.XLOOKUP(B2296,STUDIES!$A$3:$A$1063,STUDIES!$G$3:$G$1063,"Not Found!")</f>
        <v>A</v>
      </c>
      <c r="G2296" s="273" t="s">
        <v>147</v>
      </c>
      <c r="H2296" s="273">
        <v>16</v>
      </c>
      <c r="I2296" s="273">
        <v>74</v>
      </c>
      <c r="J2296" s="274">
        <v>2</v>
      </c>
    </row>
    <row r="2297" spans="1:26" ht="18" customHeight="1" x14ac:dyDescent="0.35">
      <c r="A2297" s="274">
        <f>MATCH(B2297,STUDIES!$A$3:$A$502,0)</f>
        <v>94</v>
      </c>
      <c r="B2297" t="s">
        <v>1877</v>
      </c>
      <c r="C2297" s="456"/>
      <c r="D2297" t="s">
        <v>2059</v>
      </c>
      <c r="E2297" s="272" t="s">
        <v>153</v>
      </c>
      <c r="F2297" s="155" t="str">
        <f>_xlfn.XLOOKUP(B2297,STUDIES!$A$3:$A$1063,STUDIES!$G$3:$G$1063,"Not Found!")</f>
        <v>A</v>
      </c>
      <c r="G2297" s="273" t="s">
        <v>147</v>
      </c>
      <c r="H2297" s="273">
        <v>16</v>
      </c>
      <c r="I2297" s="273">
        <v>57</v>
      </c>
      <c r="K2297" s="268">
        <v>20.100000000000001</v>
      </c>
      <c r="M2297" s="268">
        <v>6.6</v>
      </c>
      <c r="X2297" s="276">
        <v>8.5</v>
      </c>
      <c r="Z2297" s="268">
        <v>6.6</v>
      </c>
    </row>
    <row r="2298" spans="1:26" ht="18" customHeight="1" x14ac:dyDescent="0.35">
      <c r="A2298" s="274">
        <f>MATCH(B2298,STUDIES!$A$3:$A$502,0)</f>
        <v>94</v>
      </c>
      <c r="B2298" t="s">
        <v>1877</v>
      </c>
      <c r="C2298" s="456"/>
      <c r="D2298" t="s">
        <v>2060</v>
      </c>
      <c r="E2298" s="272" t="s">
        <v>153</v>
      </c>
      <c r="F2298" s="155" t="str">
        <f>_xlfn.XLOOKUP(B2298,STUDIES!$A$3:$A$1063,STUDIES!$G$3:$G$1063,"Not Found!")</f>
        <v>A</v>
      </c>
      <c r="G2298" s="273" t="s">
        <v>147</v>
      </c>
      <c r="H2298" s="273">
        <v>16</v>
      </c>
      <c r="I2298" s="273">
        <v>57</v>
      </c>
      <c r="K2298" s="268">
        <v>17.899999999999999</v>
      </c>
      <c r="M2298" s="268">
        <v>6.4</v>
      </c>
      <c r="X2298" s="276">
        <v>9.3000000000000007</v>
      </c>
      <c r="Z2298" s="268">
        <v>6.7</v>
      </c>
    </row>
    <row r="2299" spans="1:26" ht="18" customHeight="1" x14ac:dyDescent="0.35">
      <c r="A2299" s="274">
        <f>MATCH(B2299,STUDIES!$A$3:$A$502,0)</f>
        <v>94</v>
      </c>
      <c r="B2299" t="s">
        <v>1877</v>
      </c>
      <c r="C2299" s="456"/>
      <c r="D2299" t="s">
        <v>2061</v>
      </c>
      <c r="E2299" s="272" t="s">
        <v>153</v>
      </c>
      <c r="F2299" s="155" t="str">
        <f>_xlfn.XLOOKUP(B2299,STUDIES!$A$3:$A$1063,STUDIES!$G$3:$G$1063,"Not Found!")</f>
        <v>A</v>
      </c>
      <c r="G2299" s="273" t="s">
        <v>147</v>
      </c>
      <c r="H2299" s="273">
        <v>16</v>
      </c>
      <c r="I2299" s="273">
        <v>56</v>
      </c>
      <c r="K2299" s="268">
        <v>17.600000000000001</v>
      </c>
      <c r="M2299" s="268">
        <v>6.6</v>
      </c>
      <c r="X2299" s="276">
        <v>9.1999999999999993</v>
      </c>
      <c r="Z2299" s="268">
        <v>6</v>
      </c>
    </row>
    <row r="2300" spans="1:26" ht="18" customHeight="1" x14ac:dyDescent="0.35">
      <c r="A2300" s="274">
        <f>MATCH(B2300,STUDIES!$A$3:$A$502,0)</f>
        <v>94</v>
      </c>
      <c r="B2300" t="s">
        <v>1877</v>
      </c>
      <c r="C2300" s="456"/>
      <c r="D2300" t="s">
        <v>148</v>
      </c>
      <c r="E2300" s="272" t="s">
        <v>153</v>
      </c>
      <c r="F2300" s="155" t="str">
        <f>_xlfn.XLOOKUP(B2300,STUDIES!$A$3:$A$1063,STUDIES!$G$3:$G$1063,"Not Found!")</f>
        <v>A</v>
      </c>
      <c r="G2300" s="273" t="s">
        <v>147</v>
      </c>
      <c r="H2300" s="273">
        <v>16</v>
      </c>
      <c r="I2300" s="273">
        <v>56</v>
      </c>
      <c r="K2300" s="268">
        <v>20</v>
      </c>
      <c r="M2300" s="268">
        <v>5.5</v>
      </c>
      <c r="X2300" s="276">
        <v>14.4</v>
      </c>
      <c r="Z2300" s="268">
        <v>8.1</v>
      </c>
    </row>
    <row r="2301" spans="1:26" ht="18" customHeight="1" x14ac:dyDescent="0.35">
      <c r="A2301" s="274">
        <f>MATCH(B2301,STUDIES!$A$3:$A$502,0)</f>
        <v>94</v>
      </c>
      <c r="B2301" t="s">
        <v>1877</v>
      </c>
      <c r="C2301" s="456"/>
      <c r="D2301" t="s">
        <v>2059</v>
      </c>
      <c r="E2301" s="272" t="s">
        <v>154</v>
      </c>
      <c r="F2301" s="155" t="str">
        <f>_xlfn.XLOOKUP(B2301,STUDIES!$A$3:$A$1063,STUDIES!$G$3:$G$1063,"Not Found!")</f>
        <v>A</v>
      </c>
      <c r="G2301" s="273" t="s">
        <v>147</v>
      </c>
      <c r="H2301" s="273">
        <v>16</v>
      </c>
      <c r="I2301" s="273">
        <v>57</v>
      </c>
      <c r="K2301" s="268">
        <v>13.6</v>
      </c>
      <c r="M2301" s="268">
        <v>7.8</v>
      </c>
      <c r="X2301" s="276">
        <v>5.3</v>
      </c>
      <c r="Z2301" s="268">
        <v>6.2</v>
      </c>
    </row>
    <row r="2302" spans="1:26" ht="18" customHeight="1" x14ac:dyDescent="0.35">
      <c r="A2302" s="274">
        <f>MATCH(B2302,STUDIES!$A$3:$A$502,0)</f>
        <v>94</v>
      </c>
      <c r="B2302" t="s">
        <v>1877</v>
      </c>
      <c r="C2302" s="456"/>
      <c r="D2302" t="s">
        <v>2060</v>
      </c>
      <c r="E2302" s="272" t="s">
        <v>154</v>
      </c>
      <c r="F2302" s="155" t="str">
        <f>_xlfn.XLOOKUP(B2302,STUDIES!$A$3:$A$1063,STUDIES!$G$3:$G$1063,"Not Found!")</f>
        <v>A</v>
      </c>
      <c r="G2302" s="273" t="s">
        <v>147</v>
      </c>
      <c r="H2302" s="273">
        <v>16</v>
      </c>
      <c r="I2302" s="273">
        <v>57</v>
      </c>
      <c r="K2302" s="268">
        <v>12.1</v>
      </c>
      <c r="M2302" s="268">
        <v>6.1</v>
      </c>
      <c r="X2302" s="276">
        <v>6.1</v>
      </c>
      <c r="Z2302" s="268">
        <v>5.8</v>
      </c>
    </row>
    <row r="2303" spans="1:26" ht="18" customHeight="1" x14ac:dyDescent="0.35">
      <c r="A2303" s="274">
        <f>MATCH(B2303,STUDIES!$A$3:$A$502,0)</f>
        <v>94</v>
      </c>
      <c r="B2303" t="s">
        <v>1877</v>
      </c>
      <c r="C2303" s="456"/>
      <c r="D2303" t="s">
        <v>2061</v>
      </c>
      <c r="E2303" s="272" t="s">
        <v>154</v>
      </c>
      <c r="F2303" s="155" t="str">
        <f>_xlfn.XLOOKUP(B2303,STUDIES!$A$3:$A$1063,STUDIES!$G$3:$G$1063,"Not Found!")</f>
        <v>A</v>
      </c>
      <c r="G2303" s="273" t="s">
        <v>147</v>
      </c>
      <c r="H2303" s="273">
        <v>16</v>
      </c>
      <c r="I2303" s="273">
        <v>56</v>
      </c>
      <c r="K2303" s="268">
        <v>13.5</v>
      </c>
      <c r="M2303" s="268">
        <v>7.9</v>
      </c>
      <c r="X2303" s="276">
        <v>6.2</v>
      </c>
      <c r="Z2303" s="268">
        <v>5.7</v>
      </c>
    </row>
    <row r="2304" spans="1:26" ht="18" customHeight="1" x14ac:dyDescent="0.35">
      <c r="A2304" s="274">
        <f>MATCH(B2304,STUDIES!$A$3:$A$502,0)</f>
        <v>94</v>
      </c>
      <c r="B2304" t="s">
        <v>1877</v>
      </c>
      <c r="C2304" s="456"/>
      <c r="D2304" t="s">
        <v>148</v>
      </c>
      <c r="E2304" s="272" t="s">
        <v>154</v>
      </c>
      <c r="F2304" s="155" t="str">
        <f>_xlfn.XLOOKUP(B2304,STUDIES!$A$3:$A$1063,STUDIES!$G$3:$G$1063,"Not Found!")</f>
        <v>A</v>
      </c>
      <c r="G2304" s="273" t="s">
        <v>147</v>
      </c>
      <c r="H2304" s="273">
        <v>16</v>
      </c>
      <c r="I2304" s="273">
        <v>56</v>
      </c>
      <c r="K2304" s="268">
        <v>13.9</v>
      </c>
      <c r="M2304" s="268">
        <v>6.2</v>
      </c>
      <c r="X2304" s="276">
        <v>9.3000000000000007</v>
      </c>
      <c r="Z2304" s="268">
        <v>7.3</v>
      </c>
    </row>
    <row r="2305" spans="1:26" ht="18" customHeight="1" x14ac:dyDescent="0.35">
      <c r="A2305" s="274">
        <f>MATCH(B2305,STUDIES!$A$3:$A$502,0)</f>
        <v>94</v>
      </c>
      <c r="B2305" t="s">
        <v>1877</v>
      </c>
      <c r="C2305" s="456"/>
      <c r="D2305" t="s">
        <v>2059</v>
      </c>
      <c r="E2305" s="272" t="s">
        <v>695</v>
      </c>
      <c r="F2305" s="155" t="str">
        <f>_xlfn.XLOOKUP(B2305,STUDIES!$A$3:$A$1063,STUDIES!$G$3:$G$1063,"Not Found!")</f>
        <v>A</v>
      </c>
      <c r="G2305" s="273" t="s">
        <v>147</v>
      </c>
      <c r="H2305" s="273">
        <v>16</v>
      </c>
      <c r="I2305" s="273">
        <v>57</v>
      </c>
      <c r="K2305" s="268">
        <v>6.9</v>
      </c>
      <c r="M2305" s="268">
        <v>2</v>
      </c>
      <c r="X2305" s="276">
        <v>3.4</v>
      </c>
      <c r="Z2305" s="268">
        <v>2.6</v>
      </c>
    </row>
    <row r="2306" spans="1:26" ht="18" customHeight="1" x14ac:dyDescent="0.35">
      <c r="A2306" s="274">
        <f>MATCH(B2306,STUDIES!$A$3:$A$502,0)</f>
        <v>94</v>
      </c>
      <c r="B2306" t="s">
        <v>1877</v>
      </c>
      <c r="C2306" s="456"/>
      <c r="D2306" t="s">
        <v>2060</v>
      </c>
      <c r="E2306" s="272" t="s">
        <v>695</v>
      </c>
      <c r="F2306" s="155" t="str">
        <f>_xlfn.XLOOKUP(B2306,STUDIES!$A$3:$A$1063,STUDIES!$G$3:$G$1063,"Not Found!")</f>
        <v>A</v>
      </c>
      <c r="G2306" s="273" t="s">
        <v>147</v>
      </c>
      <c r="H2306" s="273">
        <v>16</v>
      </c>
      <c r="I2306" s="273">
        <v>57</v>
      </c>
      <c r="K2306" s="268">
        <v>6.8</v>
      </c>
      <c r="M2306" s="268">
        <v>1.8</v>
      </c>
      <c r="X2306" s="276">
        <v>4.0999999999999996</v>
      </c>
      <c r="Z2306" s="268">
        <v>2.2000000000000002</v>
      </c>
    </row>
    <row r="2307" spans="1:26" ht="18" customHeight="1" x14ac:dyDescent="0.35">
      <c r="A2307" s="274">
        <f>MATCH(B2307,STUDIES!$A$3:$A$502,0)</f>
        <v>94</v>
      </c>
      <c r="B2307" t="s">
        <v>1877</v>
      </c>
      <c r="C2307" s="456"/>
      <c r="D2307" t="s">
        <v>2061</v>
      </c>
      <c r="E2307" s="272" t="s">
        <v>695</v>
      </c>
      <c r="F2307" s="155" t="str">
        <f>_xlfn.XLOOKUP(B2307,STUDIES!$A$3:$A$1063,STUDIES!$G$3:$G$1063,"Not Found!")</f>
        <v>A</v>
      </c>
      <c r="G2307" s="273" t="s">
        <v>147</v>
      </c>
      <c r="H2307" s="273">
        <v>16</v>
      </c>
      <c r="I2307" s="273">
        <v>56</v>
      </c>
      <c r="K2307" s="268">
        <v>6.4</v>
      </c>
      <c r="M2307" s="268">
        <v>2.1</v>
      </c>
      <c r="X2307" s="276">
        <v>3.5</v>
      </c>
      <c r="Z2307" s="268">
        <v>2.5</v>
      </c>
    </row>
    <row r="2308" spans="1:26" ht="18" customHeight="1" x14ac:dyDescent="0.35">
      <c r="A2308" s="274">
        <f>MATCH(B2308,STUDIES!$A$3:$A$502,0)</f>
        <v>94</v>
      </c>
      <c r="B2308" t="s">
        <v>1877</v>
      </c>
      <c r="C2308" s="456"/>
      <c r="D2308" t="s">
        <v>148</v>
      </c>
      <c r="E2308" s="272" t="s">
        <v>695</v>
      </c>
      <c r="F2308" s="155" t="str">
        <f>_xlfn.XLOOKUP(B2308,STUDIES!$A$3:$A$1063,STUDIES!$G$3:$G$1063,"Not Found!")</f>
        <v>A</v>
      </c>
      <c r="G2308" s="273" t="s">
        <v>147</v>
      </c>
      <c r="H2308" s="273">
        <v>16</v>
      </c>
      <c r="I2308" s="273">
        <v>56</v>
      </c>
      <c r="K2308" s="268">
        <v>7.1</v>
      </c>
      <c r="M2308" s="268">
        <v>1.3</v>
      </c>
      <c r="X2308" s="276">
        <v>4.5999999999999996</v>
      </c>
      <c r="Z2308" s="268">
        <v>2.5</v>
      </c>
    </row>
    <row r="2309" spans="1:26" ht="18" customHeight="1" x14ac:dyDescent="0.35">
      <c r="A2309" s="274">
        <f>MATCH(B2309,STUDIES!$A$3:$A$502,0)</f>
        <v>94</v>
      </c>
      <c r="B2309" t="s">
        <v>1877</v>
      </c>
      <c r="C2309" s="456"/>
      <c r="D2309" t="s">
        <v>2059</v>
      </c>
      <c r="E2309" s="272" t="s">
        <v>1258</v>
      </c>
      <c r="F2309" s="155" t="str">
        <f>_xlfn.XLOOKUP(B2309,STUDIES!$A$3:$A$1063,STUDIES!$G$3:$G$1063,"Not Found!")</f>
        <v>A</v>
      </c>
      <c r="G2309" s="273" t="s">
        <v>147</v>
      </c>
      <c r="H2309" s="273">
        <v>16</v>
      </c>
      <c r="I2309" s="273">
        <v>57</v>
      </c>
      <c r="J2309" s="274">
        <f>0.544*I2309</f>
        <v>31.008000000000003</v>
      </c>
    </row>
    <row r="2310" spans="1:26" ht="18" customHeight="1" x14ac:dyDescent="0.35">
      <c r="A2310" s="274">
        <f>MATCH(B2310,STUDIES!$A$3:$A$502,0)</f>
        <v>94</v>
      </c>
      <c r="B2310" t="s">
        <v>1877</v>
      </c>
      <c r="C2310" s="456"/>
      <c r="D2310" t="s">
        <v>2060</v>
      </c>
      <c r="E2310" s="272" t="s">
        <v>1258</v>
      </c>
      <c r="F2310" s="155" t="str">
        <f>_xlfn.XLOOKUP(B2310,STUDIES!$A$3:$A$1063,STUDIES!$G$3:$G$1063,"Not Found!")</f>
        <v>A</v>
      </c>
      <c r="G2310" s="273" t="s">
        <v>147</v>
      </c>
      <c r="H2310" s="273">
        <v>16</v>
      </c>
      <c r="I2310" s="273">
        <v>57</v>
      </c>
      <c r="J2310" s="274">
        <f>0.509*I2310</f>
        <v>29.013000000000002</v>
      </c>
    </row>
    <row r="2311" spans="1:26" ht="18" customHeight="1" x14ac:dyDescent="0.35">
      <c r="A2311" s="274">
        <f>MATCH(B2311,STUDIES!$A$3:$A$502,0)</f>
        <v>94</v>
      </c>
      <c r="B2311" t="s">
        <v>1877</v>
      </c>
      <c r="C2311" s="456"/>
      <c r="D2311" t="s">
        <v>2061</v>
      </c>
      <c r="E2311" s="272" t="s">
        <v>1258</v>
      </c>
      <c r="F2311" s="155" t="str">
        <f>_xlfn.XLOOKUP(B2311,STUDIES!$A$3:$A$1063,STUDIES!$G$3:$G$1063,"Not Found!")</f>
        <v>A</v>
      </c>
      <c r="G2311" s="273" t="s">
        <v>147</v>
      </c>
      <c r="H2311" s="273">
        <v>16</v>
      </c>
      <c r="I2311" s="273">
        <v>56</v>
      </c>
      <c r="J2311" s="274">
        <f>0.607*I2311</f>
        <v>33.991999999999997</v>
      </c>
    </row>
    <row r="2312" spans="1:26" ht="18" customHeight="1" x14ac:dyDescent="0.35">
      <c r="A2312" s="274">
        <f>MATCH(B2312,STUDIES!$A$3:$A$502,0)</f>
        <v>94</v>
      </c>
      <c r="B2312" t="s">
        <v>1877</v>
      </c>
      <c r="C2312" s="456"/>
      <c r="D2312" t="s">
        <v>148</v>
      </c>
      <c r="E2312" s="272" t="s">
        <v>1258</v>
      </c>
      <c r="F2312" s="155" t="str">
        <f>_xlfn.XLOOKUP(B2312,STUDIES!$A$3:$A$1063,STUDIES!$G$3:$G$1063,"Not Found!")</f>
        <v>A</v>
      </c>
      <c r="G2312" s="273" t="s">
        <v>147</v>
      </c>
      <c r="H2312" s="273">
        <v>16</v>
      </c>
      <c r="I2312" s="273">
        <v>56</v>
      </c>
      <c r="J2312" s="274">
        <f>0.321*I2312</f>
        <v>17.975999999999999</v>
      </c>
    </row>
    <row r="2313" spans="1:26" ht="18" customHeight="1" x14ac:dyDescent="0.35">
      <c r="A2313" s="274">
        <f>MATCH(B2313,STUDIES!$A$3:$A$502,0)</f>
        <v>94</v>
      </c>
      <c r="B2313" t="s">
        <v>1877</v>
      </c>
      <c r="C2313" s="456"/>
      <c r="D2313" t="s">
        <v>2059</v>
      </c>
      <c r="E2313" s="272" t="s">
        <v>1243</v>
      </c>
      <c r="F2313" s="155" t="str">
        <f>_xlfn.XLOOKUP(B2313,STUDIES!$A$3:$A$1063,STUDIES!$G$3:$G$1063,"Not Found!")</f>
        <v>A</v>
      </c>
      <c r="G2313" s="273" t="s">
        <v>147</v>
      </c>
      <c r="H2313" s="273">
        <v>16</v>
      </c>
      <c r="I2313" s="273">
        <v>57</v>
      </c>
      <c r="J2313" s="274">
        <f>0.474*I2313</f>
        <v>27.017999999999997</v>
      </c>
    </row>
    <row r="2314" spans="1:26" ht="18" customHeight="1" x14ac:dyDescent="0.35">
      <c r="A2314" s="274">
        <f>MATCH(B2314,STUDIES!$A$3:$A$502,0)</f>
        <v>94</v>
      </c>
      <c r="B2314" t="s">
        <v>1877</v>
      </c>
      <c r="C2314" s="456"/>
      <c r="D2314" t="s">
        <v>2060</v>
      </c>
      <c r="E2314" s="272" t="s">
        <v>1243</v>
      </c>
      <c r="F2314" s="155" t="str">
        <f>_xlfn.XLOOKUP(B2314,STUDIES!$A$3:$A$1063,STUDIES!$G$3:$G$1063,"Not Found!")</f>
        <v>A</v>
      </c>
      <c r="G2314" s="273" t="s">
        <v>147</v>
      </c>
      <c r="H2314" s="273">
        <v>16</v>
      </c>
      <c r="I2314" s="273">
        <v>57</v>
      </c>
      <c r="J2314" s="274">
        <f>0.404*I2314</f>
        <v>23.028000000000002</v>
      </c>
    </row>
    <row r="2315" spans="1:26" ht="18" customHeight="1" x14ac:dyDescent="0.35">
      <c r="A2315" s="274">
        <f>MATCH(B2315,STUDIES!$A$3:$A$502,0)</f>
        <v>94</v>
      </c>
      <c r="B2315" t="s">
        <v>1877</v>
      </c>
      <c r="C2315" s="456"/>
      <c r="D2315" t="s">
        <v>2061</v>
      </c>
      <c r="E2315" s="272" t="s">
        <v>1243</v>
      </c>
      <c r="F2315" s="155" t="str">
        <f>_xlfn.XLOOKUP(B2315,STUDIES!$A$3:$A$1063,STUDIES!$G$3:$G$1063,"Not Found!")</f>
        <v>A</v>
      </c>
      <c r="G2315" s="273" t="s">
        <v>147</v>
      </c>
      <c r="H2315" s="273">
        <v>16</v>
      </c>
      <c r="I2315" s="273">
        <v>56</v>
      </c>
      <c r="J2315" s="274">
        <f>0.393*I2315</f>
        <v>22.008000000000003</v>
      </c>
    </row>
    <row r="2316" spans="1:26" ht="18" customHeight="1" x14ac:dyDescent="0.35">
      <c r="A2316" s="274">
        <f>MATCH(B2316,STUDIES!$A$3:$A$502,0)</f>
        <v>94</v>
      </c>
      <c r="B2316" t="s">
        <v>1877</v>
      </c>
      <c r="C2316" s="456"/>
      <c r="D2316" t="s">
        <v>148</v>
      </c>
      <c r="E2316" s="272" t="s">
        <v>1243</v>
      </c>
      <c r="F2316" s="155" t="str">
        <f>_xlfn.XLOOKUP(B2316,STUDIES!$A$3:$A$1063,STUDIES!$G$3:$G$1063,"Not Found!")</f>
        <v>A</v>
      </c>
      <c r="G2316" s="273" t="s">
        <v>147</v>
      </c>
      <c r="H2316" s="273">
        <v>16</v>
      </c>
      <c r="I2316" s="273">
        <v>56</v>
      </c>
      <c r="J2316" s="274">
        <f>0.125*I2316</f>
        <v>7</v>
      </c>
    </row>
    <row r="2317" spans="1:26" ht="18" customHeight="1" x14ac:dyDescent="0.35">
      <c r="A2317" s="274">
        <f>MATCH(B2317,STUDIES!$A$3:$A$502,0)</f>
        <v>94</v>
      </c>
      <c r="B2317" t="s">
        <v>1877</v>
      </c>
      <c r="C2317" s="456"/>
      <c r="D2317" t="s">
        <v>2059</v>
      </c>
      <c r="E2317" s="272" t="s">
        <v>1244</v>
      </c>
      <c r="F2317" s="155" t="str">
        <f>_xlfn.XLOOKUP(B2317,STUDIES!$A$3:$A$1063,STUDIES!$G$3:$G$1063,"Not Found!")</f>
        <v>A</v>
      </c>
      <c r="G2317" s="273" t="s">
        <v>147</v>
      </c>
      <c r="H2317" s="273">
        <v>16</v>
      </c>
      <c r="I2317" s="273">
        <v>57</v>
      </c>
      <c r="J2317" s="274">
        <f>0.246*I2317</f>
        <v>14.022</v>
      </c>
    </row>
    <row r="2318" spans="1:26" ht="18" customHeight="1" x14ac:dyDescent="0.35">
      <c r="A2318" s="274">
        <f>MATCH(B2318,STUDIES!$A$3:$A$502,0)</f>
        <v>94</v>
      </c>
      <c r="B2318" t="s">
        <v>1877</v>
      </c>
      <c r="C2318" s="456"/>
      <c r="D2318" t="s">
        <v>2060</v>
      </c>
      <c r="E2318" s="272" t="s">
        <v>1244</v>
      </c>
      <c r="F2318" s="155" t="str">
        <f>_xlfn.XLOOKUP(B2318,STUDIES!$A$3:$A$1063,STUDIES!$G$3:$G$1063,"Not Found!")</f>
        <v>A</v>
      </c>
      <c r="G2318" s="273" t="s">
        <v>147</v>
      </c>
      <c r="H2318" s="273">
        <v>16</v>
      </c>
      <c r="I2318" s="273">
        <v>57</v>
      </c>
      <c r="J2318" s="274">
        <f>0.14*I2318</f>
        <v>7.98</v>
      </c>
    </row>
    <row r="2319" spans="1:26" ht="18" customHeight="1" x14ac:dyDescent="0.35">
      <c r="A2319" s="274">
        <f>MATCH(B2319,STUDIES!$A$3:$A$502,0)</f>
        <v>94</v>
      </c>
      <c r="B2319" t="s">
        <v>1877</v>
      </c>
      <c r="C2319" s="456"/>
      <c r="D2319" t="s">
        <v>2061</v>
      </c>
      <c r="E2319" s="272" t="s">
        <v>1244</v>
      </c>
      <c r="F2319" s="155" t="str">
        <f>_xlfn.XLOOKUP(B2319,STUDIES!$A$3:$A$1063,STUDIES!$G$3:$G$1063,"Not Found!")</f>
        <v>A</v>
      </c>
      <c r="G2319" s="273" t="s">
        <v>147</v>
      </c>
      <c r="H2319" s="273">
        <v>16</v>
      </c>
      <c r="I2319" s="273">
        <v>56</v>
      </c>
      <c r="J2319" s="274">
        <f>0.232*I2319</f>
        <v>12.992000000000001</v>
      </c>
    </row>
    <row r="2320" spans="1:26" ht="18" customHeight="1" x14ac:dyDescent="0.35">
      <c r="A2320" s="274">
        <f>MATCH(B2320,STUDIES!$A$3:$A$502,0)</f>
        <v>94</v>
      </c>
      <c r="B2320" t="s">
        <v>1877</v>
      </c>
      <c r="C2320" s="456"/>
      <c r="D2320" t="s">
        <v>148</v>
      </c>
      <c r="E2320" s="272" t="s">
        <v>1244</v>
      </c>
      <c r="F2320" s="155" t="str">
        <f>_xlfn.XLOOKUP(B2320,STUDIES!$A$3:$A$1063,STUDIES!$G$3:$G$1063,"Not Found!")</f>
        <v>A</v>
      </c>
      <c r="G2320" s="273" t="s">
        <v>147</v>
      </c>
      <c r="H2320" s="273">
        <v>16</v>
      </c>
      <c r="I2320" s="273">
        <v>56</v>
      </c>
      <c r="J2320" s="274">
        <f>0.089*I2320</f>
        <v>4.984</v>
      </c>
    </row>
    <row r="2321" spans="1:10" ht="18" customHeight="1" x14ac:dyDescent="0.35">
      <c r="A2321" s="274">
        <f>MATCH(B2321,STUDIES!$A$3:$A$502,0)</f>
        <v>98</v>
      </c>
      <c r="B2321" s="86" t="s">
        <v>1885</v>
      </c>
      <c r="D2321" s="232" t="s">
        <v>1886</v>
      </c>
      <c r="E2321" s="272" t="s">
        <v>1258</v>
      </c>
      <c r="F2321" s="155" t="str">
        <f>_xlfn.XLOOKUP(B2321,STUDIES!$A$3:$A$1063,STUDIES!$G$3:$G$1063,"Not Found!")</f>
        <v>A</v>
      </c>
      <c r="G2321" s="273" t="s">
        <v>147</v>
      </c>
      <c r="H2321" s="273">
        <v>8</v>
      </c>
      <c r="I2321" s="273">
        <v>4</v>
      </c>
      <c r="J2321" s="274">
        <f>0.5*I2321</f>
        <v>2</v>
      </c>
    </row>
    <row r="2322" spans="1:10" ht="18" customHeight="1" x14ac:dyDescent="0.35">
      <c r="A2322" s="274">
        <f>MATCH(B2322,STUDIES!$A$3:$A$502,0)</f>
        <v>98</v>
      </c>
      <c r="B2322" s="86" t="s">
        <v>1885</v>
      </c>
      <c r="D2322" s="232" t="s">
        <v>1887</v>
      </c>
      <c r="E2322" s="272" t="s">
        <v>1258</v>
      </c>
      <c r="F2322" s="155" t="str">
        <f>_xlfn.XLOOKUP(B2322,STUDIES!$A$3:$A$1063,STUDIES!$G$3:$G$1063,"Not Found!")</f>
        <v>A</v>
      </c>
      <c r="G2322" s="273" t="s">
        <v>147</v>
      </c>
      <c r="H2322" s="273">
        <v>8</v>
      </c>
      <c r="I2322" s="273">
        <v>7</v>
      </c>
      <c r="J2322" s="274">
        <f>0.71*I2322</f>
        <v>4.97</v>
      </c>
    </row>
    <row r="2323" spans="1:10" ht="18" customHeight="1" x14ac:dyDescent="0.35">
      <c r="A2323" s="274">
        <f>MATCH(B2323,STUDIES!$A$3:$A$502,0)</f>
        <v>98</v>
      </c>
      <c r="B2323" s="86" t="s">
        <v>1885</v>
      </c>
      <c r="D2323" s="232" t="s">
        <v>1888</v>
      </c>
      <c r="E2323" s="272" t="s">
        <v>1258</v>
      </c>
      <c r="F2323" s="155" t="str">
        <f>_xlfn.XLOOKUP(B2323,STUDIES!$A$3:$A$1063,STUDIES!$G$3:$G$1063,"Not Found!")</f>
        <v>A</v>
      </c>
      <c r="G2323" s="273" t="s">
        <v>147</v>
      </c>
      <c r="H2323" s="273">
        <v>8</v>
      </c>
      <c r="I2323" s="273">
        <v>16</v>
      </c>
      <c r="J2323" s="274">
        <f>0.81*I2323</f>
        <v>12.96</v>
      </c>
    </row>
    <row r="2324" spans="1:10" ht="18" customHeight="1" x14ac:dyDescent="0.35">
      <c r="A2324" s="274">
        <f>MATCH(B2324,STUDIES!$A$3:$A$502,0)</f>
        <v>98</v>
      </c>
      <c r="B2324" s="86" t="s">
        <v>1885</v>
      </c>
      <c r="D2324" s="232" t="s">
        <v>148</v>
      </c>
      <c r="E2324" s="272" t="s">
        <v>1258</v>
      </c>
      <c r="F2324" s="155" t="str">
        <f>_xlfn.XLOOKUP(B2324,STUDIES!$A$3:$A$1063,STUDIES!$G$3:$G$1063,"Not Found!")</f>
        <v>A</v>
      </c>
      <c r="G2324" s="273" t="s">
        <v>147</v>
      </c>
      <c r="H2324" s="273">
        <v>8</v>
      </c>
      <c r="I2324" s="273">
        <v>13</v>
      </c>
      <c r="J2324" s="274">
        <f>0.31*I2324</f>
        <v>4.03</v>
      </c>
    </row>
    <row r="2325" spans="1:10" ht="18" customHeight="1" x14ac:dyDescent="0.35">
      <c r="A2325" s="274">
        <f>MATCH(B2325,STUDIES!$A$3:$A$502,0)</f>
        <v>98</v>
      </c>
      <c r="B2325" s="86" t="s">
        <v>1885</v>
      </c>
      <c r="D2325" s="232" t="s">
        <v>1886</v>
      </c>
      <c r="E2325" s="272" t="s">
        <v>1243</v>
      </c>
      <c r="F2325" s="155" t="str">
        <f>_xlfn.XLOOKUP(B2325,STUDIES!$A$3:$A$1063,STUDIES!$G$3:$G$1063,"Not Found!")</f>
        <v>A</v>
      </c>
      <c r="G2325" s="273" t="s">
        <v>147</v>
      </c>
      <c r="H2325" s="273">
        <v>8</v>
      </c>
      <c r="I2325" s="273">
        <v>4</v>
      </c>
      <c r="J2325" s="274">
        <f>0.5*I2325</f>
        <v>2</v>
      </c>
    </row>
    <row r="2326" spans="1:10" ht="18" customHeight="1" x14ac:dyDescent="0.35">
      <c r="A2326" s="274">
        <f>MATCH(B2326,STUDIES!$A$3:$A$502,0)</f>
        <v>98</v>
      </c>
      <c r="B2326" s="86" t="s">
        <v>1885</v>
      </c>
      <c r="D2326" s="232" t="s">
        <v>1887</v>
      </c>
      <c r="E2326" s="272" t="s">
        <v>1243</v>
      </c>
      <c r="F2326" s="155" t="str">
        <f>_xlfn.XLOOKUP(B2326,STUDIES!$A$3:$A$1063,STUDIES!$G$3:$G$1063,"Not Found!")</f>
        <v>A</v>
      </c>
      <c r="G2326" s="273" t="s">
        <v>147</v>
      </c>
      <c r="H2326" s="273">
        <v>8</v>
      </c>
      <c r="I2326" s="273">
        <v>7</v>
      </c>
      <c r="J2326" s="274">
        <f>0.57*I2326</f>
        <v>3.9899999999999998</v>
      </c>
    </row>
    <row r="2327" spans="1:10" ht="18" customHeight="1" x14ac:dyDescent="0.35">
      <c r="A2327" s="274">
        <f>MATCH(B2327,STUDIES!$A$3:$A$502,0)</f>
        <v>98</v>
      </c>
      <c r="B2327" s="86" t="s">
        <v>1885</v>
      </c>
      <c r="D2327" s="232" t="s">
        <v>1888</v>
      </c>
      <c r="E2327" s="272" t="s">
        <v>1243</v>
      </c>
      <c r="F2327" s="155" t="str">
        <f>_xlfn.XLOOKUP(B2327,STUDIES!$A$3:$A$1063,STUDIES!$G$3:$G$1063,"Not Found!")</f>
        <v>A</v>
      </c>
      <c r="G2327" s="273" t="s">
        <v>147</v>
      </c>
      <c r="H2327" s="273">
        <v>8</v>
      </c>
      <c r="I2327" s="273">
        <v>16</v>
      </c>
      <c r="J2327" s="274">
        <f>0.69*I2327</f>
        <v>11.04</v>
      </c>
    </row>
    <row r="2328" spans="1:10" ht="18" customHeight="1" x14ac:dyDescent="0.35">
      <c r="A2328" s="274">
        <f>MATCH(B2328,STUDIES!$A$3:$A$502,0)</f>
        <v>98</v>
      </c>
      <c r="B2328" s="86" t="s">
        <v>1885</v>
      </c>
      <c r="D2328" s="232" t="s">
        <v>148</v>
      </c>
      <c r="E2328" s="272" t="s">
        <v>1243</v>
      </c>
      <c r="F2328" s="155" t="str">
        <f>_xlfn.XLOOKUP(B2328,STUDIES!$A$3:$A$1063,STUDIES!$G$3:$G$1063,"Not Found!")</f>
        <v>A</v>
      </c>
      <c r="G2328" s="273" t="s">
        <v>147</v>
      </c>
      <c r="H2328" s="273">
        <v>8</v>
      </c>
      <c r="I2328" s="273">
        <v>13</v>
      </c>
      <c r="J2328" s="274">
        <f>0.15*I2328</f>
        <v>1.95</v>
      </c>
    </row>
    <row r="2329" spans="1:10" ht="18" customHeight="1" x14ac:dyDescent="0.35">
      <c r="A2329" s="274">
        <f>MATCH(B2329,STUDIES!$A$3:$A$502,0)</f>
        <v>98</v>
      </c>
      <c r="B2329" s="86" t="s">
        <v>1885</v>
      </c>
      <c r="D2329" s="232" t="s">
        <v>1886</v>
      </c>
      <c r="E2329" s="272" t="s">
        <v>1244</v>
      </c>
      <c r="F2329" s="155" t="str">
        <f>_xlfn.XLOOKUP(B2329,STUDIES!$A$3:$A$1063,STUDIES!$G$3:$G$1063,"Not Found!")</f>
        <v>A</v>
      </c>
      <c r="G2329" s="273" t="s">
        <v>147</v>
      </c>
      <c r="H2329" s="273">
        <v>8</v>
      </c>
      <c r="I2329" s="273">
        <v>4</v>
      </c>
      <c r="J2329" s="274">
        <v>0</v>
      </c>
    </row>
    <row r="2330" spans="1:10" ht="18" customHeight="1" x14ac:dyDescent="0.35">
      <c r="A2330" s="274">
        <f>MATCH(B2330,STUDIES!$A$3:$A$502,0)</f>
        <v>98</v>
      </c>
      <c r="B2330" s="86" t="s">
        <v>1885</v>
      </c>
      <c r="D2330" s="232" t="s">
        <v>1887</v>
      </c>
      <c r="E2330" s="272" t="s">
        <v>1244</v>
      </c>
      <c r="F2330" s="155" t="str">
        <f>_xlfn.XLOOKUP(B2330,STUDIES!$A$3:$A$1063,STUDIES!$G$3:$G$1063,"Not Found!")</f>
        <v>A</v>
      </c>
      <c r="G2330" s="273" t="s">
        <v>147</v>
      </c>
      <c r="H2330" s="273">
        <v>8</v>
      </c>
      <c r="I2330" s="273">
        <v>7</v>
      </c>
      <c r="J2330" s="274">
        <f>0.57*I2330</f>
        <v>3.9899999999999998</v>
      </c>
    </row>
    <row r="2331" spans="1:10" ht="18" customHeight="1" x14ac:dyDescent="0.35">
      <c r="A2331" s="274">
        <f>MATCH(B2331,STUDIES!$A$3:$A$502,0)</f>
        <v>98</v>
      </c>
      <c r="B2331" s="86" t="s">
        <v>1885</v>
      </c>
      <c r="D2331" s="232" t="s">
        <v>1888</v>
      </c>
      <c r="E2331" s="272" t="s">
        <v>1244</v>
      </c>
      <c r="F2331" s="155" t="str">
        <f>_xlfn.XLOOKUP(B2331,STUDIES!$A$3:$A$1063,STUDIES!$G$3:$G$1063,"Not Found!")</f>
        <v>A</v>
      </c>
      <c r="G2331" s="273" t="s">
        <v>147</v>
      </c>
      <c r="H2331" s="273">
        <v>8</v>
      </c>
      <c r="I2331" s="273">
        <v>16</v>
      </c>
      <c r="J2331" s="274">
        <f>0.38*I2331</f>
        <v>6.08</v>
      </c>
    </row>
    <row r="2332" spans="1:10" ht="18" customHeight="1" x14ac:dyDescent="0.35">
      <c r="A2332" s="274">
        <f>MATCH(B2332,STUDIES!$A$3:$A$502,0)</f>
        <v>98</v>
      </c>
      <c r="B2332" s="86" t="s">
        <v>1885</v>
      </c>
      <c r="D2332" s="232" t="s">
        <v>148</v>
      </c>
      <c r="E2332" s="272" t="s">
        <v>1244</v>
      </c>
      <c r="F2332" s="155" t="str">
        <f>_xlfn.XLOOKUP(B2332,STUDIES!$A$3:$A$1063,STUDIES!$G$3:$G$1063,"Not Found!")</f>
        <v>A</v>
      </c>
      <c r="G2332" s="273" t="s">
        <v>147</v>
      </c>
      <c r="H2332" s="273">
        <v>8</v>
      </c>
      <c r="I2332" s="273">
        <v>13</v>
      </c>
      <c r="J2332" s="274">
        <f>0.15*I2332</f>
        <v>1.95</v>
      </c>
    </row>
    <row r="2333" spans="1:10" ht="18" customHeight="1" x14ac:dyDescent="0.35">
      <c r="A2333" s="274">
        <f>MATCH(B2333,STUDIES!$A$3:$A$502,0)</f>
        <v>98</v>
      </c>
      <c r="B2333" s="86" t="s">
        <v>1885</v>
      </c>
      <c r="D2333" s="232" t="s">
        <v>1886</v>
      </c>
      <c r="E2333" s="272" t="s">
        <v>1268</v>
      </c>
      <c r="F2333" s="155" t="str">
        <f>_xlfn.XLOOKUP(B2333,STUDIES!$A$3:$A$1063,STUDIES!$G$3:$G$1063,"Not Found!")</f>
        <v>A</v>
      </c>
      <c r="G2333" s="273" t="s">
        <v>147</v>
      </c>
      <c r="H2333" s="273">
        <v>8</v>
      </c>
      <c r="I2333" s="273">
        <v>4</v>
      </c>
      <c r="J2333" s="274">
        <v>0</v>
      </c>
    </row>
    <row r="2334" spans="1:10" ht="18" customHeight="1" x14ac:dyDescent="0.35">
      <c r="A2334" s="274">
        <f>MATCH(B2334,STUDIES!$A$3:$A$502,0)</f>
        <v>98</v>
      </c>
      <c r="B2334" s="86" t="s">
        <v>1885</v>
      </c>
      <c r="D2334" s="232" t="s">
        <v>1887</v>
      </c>
      <c r="E2334" s="272" t="s">
        <v>1268</v>
      </c>
      <c r="F2334" s="155" t="str">
        <f>_xlfn.XLOOKUP(B2334,STUDIES!$A$3:$A$1063,STUDIES!$G$3:$G$1063,"Not Found!")</f>
        <v>A</v>
      </c>
      <c r="G2334" s="273" t="s">
        <v>147</v>
      </c>
      <c r="H2334" s="273">
        <v>8</v>
      </c>
      <c r="I2334" s="273">
        <v>7</v>
      </c>
      <c r="J2334" s="274">
        <f>0.14*I2334</f>
        <v>0.98000000000000009</v>
      </c>
    </row>
    <row r="2335" spans="1:10" ht="18" customHeight="1" x14ac:dyDescent="0.35">
      <c r="A2335" s="274">
        <f>MATCH(B2335,STUDIES!$A$3:$A$502,0)</f>
        <v>98</v>
      </c>
      <c r="B2335" s="86" t="s">
        <v>1885</v>
      </c>
      <c r="D2335" s="232" t="s">
        <v>1888</v>
      </c>
      <c r="E2335" s="272" t="s">
        <v>1268</v>
      </c>
      <c r="F2335" s="155" t="str">
        <f>_xlfn.XLOOKUP(B2335,STUDIES!$A$3:$A$1063,STUDIES!$G$3:$G$1063,"Not Found!")</f>
        <v>A</v>
      </c>
      <c r="G2335" s="273" t="s">
        <v>147</v>
      </c>
      <c r="H2335" s="273">
        <v>8</v>
      </c>
      <c r="I2335" s="273">
        <v>16</v>
      </c>
      <c r="J2335" s="274">
        <f>0.44*I2335</f>
        <v>7.04</v>
      </c>
    </row>
    <row r="2336" spans="1:10" ht="18" customHeight="1" x14ac:dyDescent="0.35">
      <c r="A2336" s="274">
        <f>MATCH(B2336,STUDIES!$A$3:$A$502,0)</f>
        <v>98</v>
      </c>
      <c r="B2336" s="86" t="s">
        <v>1885</v>
      </c>
      <c r="D2336" s="232" t="s">
        <v>148</v>
      </c>
      <c r="E2336" s="272" t="s">
        <v>1268</v>
      </c>
      <c r="F2336" s="155" t="str">
        <f>_xlfn.XLOOKUP(B2336,STUDIES!$A$3:$A$1063,STUDIES!$G$3:$G$1063,"Not Found!")</f>
        <v>A</v>
      </c>
      <c r="G2336" s="273" t="s">
        <v>147</v>
      </c>
      <c r="H2336" s="273">
        <v>8</v>
      </c>
      <c r="I2336" s="273">
        <v>13</v>
      </c>
      <c r="J2336" s="274">
        <f>0.15*I2336</f>
        <v>1.95</v>
      </c>
    </row>
    <row r="2337" spans="1:10" ht="18" customHeight="1" x14ac:dyDescent="0.35">
      <c r="A2337" s="274">
        <f>MATCH(B2337,STUDIES!$A$3:$A$502,0)</f>
        <v>98</v>
      </c>
      <c r="B2337" s="86" t="s">
        <v>1885</v>
      </c>
      <c r="D2337" s="232" t="s">
        <v>1886</v>
      </c>
      <c r="E2337" s="272" t="s">
        <v>1163</v>
      </c>
      <c r="F2337" s="155" t="str">
        <f>_xlfn.XLOOKUP(B2337,STUDIES!$A$3:$A$1063,STUDIES!$G$3:$G$1063,"Not Found!")</f>
        <v>A</v>
      </c>
      <c r="G2337" s="273" t="s">
        <v>147</v>
      </c>
      <c r="H2337" s="273">
        <v>8</v>
      </c>
      <c r="I2337" s="273">
        <v>5</v>
      </c>
      <c r="J2337" s="274">
        <v>0</v>
      </c>
    </row>
    <row r="2338" spans="1:10" ht="18" customHeight="1" x14ac:dyDescent="0.35">
      <c r="A2338" s="274">
        <f>MATCH(B2338,STUDIES!$A$3:$A$502,0)</f>
        <v>98</v>
      </c>
      <c r="B2338" s="86" t="s">
        <v>1885</v>
      </c>
      <c r="D2338" s="232" t="s">
        <v>1887</v>
      </c>
      <c r="E2338" s="272" t="s">
        <v>1163</v>
      </c>
      <c r="F2338" s="155" t="str">
        <f>_xlfn.XLOOKUP(B2338,STUDIES!$A$3:$A$1063,STUDIES!$G$3:$G$1063,"Not Found!")</f>
        <v>A</v>
      </c>
      <c r="G2338" s="273" t="s">
        <v>147</v>
      </c>
      <c r="H2338" s="273">
        <v>8</v>
      </c>
      <c r="I2338" s="273">
        <v>8</v>
      </c>
      <c r="J2338" s="274">
        <v>1</v>
      </c>
    </row>
    <row r="2339" spans="1:10" ht="18" customHeight="1" x14ac:dyDescent="0.35">
      <c r="A2339" s="274">
        <f>MATCH(B2339,STUDIES!$A$3:$A$502,0)</f>
        <v>98</v>
      </c>
      <c r="B2339" s="86" t="s">
        <v>1885</v>
      </c>
      <c r="D2339" s="232" t="s">
        <v>1888</v>
      </c>
      <c r="E2339" s="272" t="s">
        <v>1163</v>
      </c>
      <c r="F2339" s="155" t="str">
        <f>_xlfn.XLOOKUP(B2339,STUDIES!$A$3:$A$1063,STUDIES!$G$3:$G$1063,"Not Found!")</f>
        <v>A</v>
      </c>
      <c r="G2339" s="273" t="s">
        <v>147</v>
      </c>
      <c r="H2339" s="273">
        <v>8</v>
      </c>
      <c r="I2339" s="273">
        <v>22</v>
      </c>
      <c r="J2339" s="274">
        <v>0</v>
      </c>
    </row>
    <row r="2340" spans="1:10" ht="18" customHeight="1" x14ac:dyDescent="0.35">
      <c r="A2340" s="274">
        <f>MATCH(B2340,STUDIES!$A$3:$A$502,0)</f>
        <v>98</v>
      </c>
      <c r="B2340" s="86" t="s">
        <v>1885</v>
      </c>
      <c r="D2340" s="232" t="s">
        <v>148</v>
      </c>
      <c r="E2340" s="272" t="s">
        <v>1163</v>
      </c>
      <c r="F2340" s="155" t="str">
        <f>_xlfn.XLOOKUP(B2340,STUDIES!$A$3:$A$1063,STUDIES!$G$3:$G$1063,"Not Found!")</f>
        <v>A</v>
      </c>
      <c r="G2340" s="273" t="s">
        <v>147</v>
      </c>
      <c r="H2340" s="273">
        <v>8</v>
      </c>
      <c r="I2340" s="273">
        <v>17</v>
      </c>
      <c r="J2340" s="274">
        <v>0</v>
      </c>
    </row>
    <row r="2341" spans="1:10" ht="18" customHeight="1" x14ac:dyDescent="0.35">
      <c r="A2341" s="274">
        <f>MATCH(B2341,STUDIES!$A$3:$A$502,0)</f>
        <v>98</v>
      </c>
      <c r="B2341" s="86" t="s">
        <v>1885</v>
      </c>
      <c r="D2341" s="232" t="s">
        <v>1886</v>
      </c>
      <c r="E2341" s="272" t="s">
        <v>1167</v>
      </c>
      <c r="F2341" s="155" t="str">
        <f>_xlfn.XLOOKUP(B2341,STUDIES!$A$3:$A$1063,STUDIES!$G$3:$G$1063,"Not Found!")</f>
        <v>A</v>
      </c>
      <c r="G2341" s="273" t="s">
        <v>147</v>
      </c>
      <c r="H2341" s="273">
        <v>8</v>
      </c>
      <c r="I2341" s="273">
        <v>5</v>
      </c>
      <c r="J2341" s="274">
        <v>0</v>
      </c>
    </row>
    <row r="2342" spans="1:10" ht="18" customHeight="1" x14ac:dyDescent="0.35">
      <c r="A2342" s="274">
        <f>MATCH(B2342,STUDIES!$A$3:$A$502,0)</f>
        <v>98</v>
      </c>
      <c r="B2342" s="86" t="s">
        <v>1885</v>
      </c>
      <c r="D2342" s="232" t="s">
        <v>1887</v>
      </c>
      <c r="E2342" s="272" t="s">
        <v>1167</v>
      </c>
      <c r="F2342" s="155" t="str">
        <f>_xlfn.XLOOKUP(B2342,STUDIES!$A$3:$A$1063,STUDIES!$G$3:$G$1063,"Not Found!")</f>
        <v>A</v>
      </c>
      <c r="G2342" s="273" t="s">
        <v>147</v>
      </c>
      <c r="H2342" s="273">
        <v>8</v>
      </c>
      <c r="I2342" s="273">
        <v>8</v>
      </c>
      <c r="J2342" s="274">
        <v>0</v>
      </c>
    </row>
    <row r="2343" spans="1:10" ht="18" customHeight="1" x14ac:dyDescent="0.35">
      <c r="A2343" s="274">
        <f>MATCH(B2343,STUDIES!$A$3:$A$502,0)</f>
        <v>98</v>
      </c>
      <c r="B2343" s="86" t="s">
        <v>1885</v>
      </c>
      <c r="D2343" s="232" t="s">
        <v>1888</v>
      </c>
      <c r="E2343" s="272" t="s">
        <v>1167</v>
      </c>
      <c r="F2343" s="155" t="str">
        <f>_xlfn.XLOOKUP(B2343,STUDIES!$A$3:$A$1063,STUDIES!$G$3:$G$1063,"Not Found!")</f>
        <v>A</v>
      </c>
      <c r="G2343" s="273" t="s">
        <v>147</v>
      </c>
      <c r="H2343" s="273">
        <v>8</v>
      </c>
      <c r="I2343" s="273">
        <v>22</v>
      </c>
      <c r="J2343" s="274">
        <v>1</v>
      </c>
    </row>
    <row r="2344" spans="1:10" ht="18" customHeight="1" x14ac:dyDescent="0.35">
      <c r="A2344" s="274">
        <f>MATCH(B2344,STUDIES!$A$3:$A$502,0)</f>
        <v>98</v>
      </c>
      <c r="B2344" s="86" t="s">
        <v>1885</v>
      </c>
      <c r="D2344" s="232" t="s">
        <v>148</v>
      </c>
      <c r="E2344" s="272" t="s">
        <v>1167</v>
      </c>
      <c r="F2344" s="155" t="str">
        <f>_xlfn.XLOOKUP(B2344,STUDIES!$A$3:$A$1063,STUDIES!$G$3:$G$1063,"Not Found!")</f>
        <v>A</v>
      </c>
      <c r="G2344" s="273" t="s">
        <v>147</v>
      </c>
      <c r="H2344" s="273">
        <v>8</v>
      </c>
      <c r="I2344" s="273">
        <v>17</v>
      </c>
      <c r="J2344" s="274">
        <v>1</v>
      </c>
    </row>
    <row r="2345" spans="1:10" ht="18" customHeight="1" x14ac:dyDescent="0.35">
      <c r="A2345" s="274">
        <f>MATCH(B2345,STUDIES!$A$3:$A$502,0)</f>
        <v>99</v>
      </c>
      <c r="B2345" s="86" t="s">
        <v>2182</v>
      </c>
      <c r="D2345" s="232" t="s">
        <v>2188</v>
      </c>
      <c r="E2345" s="272" t="s">
        <v>1268</v>
      </c>
      <c r="F2345" s="155" t="str">
        <f>_xlfn.XLOOKUP(B2345,STUDIES!$A$3:$A$1063,STUDIES!$G$3:$G$1063,"Not Found!")</f>
        <v>A</v>
      </c>
      <c r="G2345" s="273" t="s">
        <v>147</v>
      </c>
      <c r="H2345" s="273">
        <v>16</v>
      </c>
      <c r="I2345" s="273">
        <v>54</v>
      </c>
      <c r="J2345" s="274">
        <f>0.333*54</f>
        <v>17.981999999999999</v>
      </c>
    </row>
    <row r="2346" spans="1:10" ht="18" customHeight="1" x14ac:dyDescent="0.35">
      <c r="A2346" s="274">
        <f>MATCH(B2346,STUDIES!$A$3:$A$502,0)</f>
        <v>99</v>
      </c>
      <c r="B2346" s="86" t="s">
        <v>2182</v>
      </c>
      <c r="D2346" s="232" t="s">
        <v>2187</v>
      </c>
      <c r="E2346" s="272" t="s">
        <v>1268</v>
      </c>
      <c r="F2346" s="155" t="str">
        <f>_xlfn.XLOOKUP(B2346,STUDIES!$A$3:$A$1063,STUDIES!$G$3:$G$1063,"Not Found!")</f>
        <v>A</v>
      </c>
      <c r="G2346" s="273" t="s">
        <v>147</v>
      </c>
      <c r="H2346" s="273">
        <v>16</v>
      </c>
      <c r="I2346" s="273">
        <v>55</v>
      </c>
      <c r="J2346" s="274">
        <f>0.244*55</f>
        <v>13.42</v>
      </c>
    </row>
    <row r="2347" spans="1:10" ht="18" customHeight="1" x14ac:dyDescent="0.35">
      <c r="A2347" s="274">
        <f>MATCH(B2347,STUDIES!$A$3:$A$502,0)</f>
        <v>99</v>
      </c>
      <c r="B2347" s="86" t="s">
        <v>2182</v>
      </c>
      <c r="D2347" s="232" t="s">
        <v>2186</v>
      </c>
      <c r="E2347" s="272" t="s">
        <v>1268</v>
      </c>
      <c r="F2347" s="155" t="str">
        <f>_xlfn.XLOOKUP(B2347,STUDIES!$A$3:$A$1063,STUDIES!$G$3:$G$1063,"Not Found!")</f>
        <v>A</v>
      </c>
      <c r="G2347" s="273" t="s">
        <v>147</v>
      </c>
      <c r="H2347" s="273">
        <v>16</v>
      </c>
      <c r="I2347" s="273">
        <v>55</v>
      </c>
      <c r="J2347" s="274">
        <f>0.382*55</f>
        <v>21.01</v>
      </c>
    </row>
    <row r="2348" spans="1:10" ht="18" customHeight="1" x14ac:dyDescent="0.35">
      <c r="A2348" s="274">
        <f>MATCH(B2348,STUDIES!$A$3:$A$502,0)</f>
        <v>99</v>
      </c>
      <c r="B2348" s="86" t="s">
        <v>2182</v>
      </c>
      <c r="D2348" s="232" t="s">
        <v>148</v>
      </c>
      <c r="E2348" s="272" t="s">
        <v>1268</v>
      </c>
      <c r="F2348" s="155" t="str">
        <f>_xlfn.XLOOKUP(B2348,STUDIES!$A$3:$A$1063,STUDIES!$G$3:$G$1063,"Not Found!")</f>
        <v>A</v>
      </c>
      <c r="G2348" s="273" t="s">
        <v>147</v>
      </c>
      <c r="H2348" s="273">
        <v>16</v>
      </c>
      <c r="I2348" s="273">
        <v>56</v>
      </c>
      <c r="J2348" s="274">
        <f>0.094*I2348</f>
        <v>5.2640000000000002</v>
      </c>
    </row>
    <row r="2349" spans="1:10" ht="18" customHeight="1" x14ac:dyDescent="0.35">
      <c r="A2349" s="274">
        <f>MATCH(B2349,STUDIES!$A$3:$A$502,0)</f>
        <v>99</v>
      </c>
      <c r="B2349" s="86" t="s">
        <v>2182</v>
      </c>
      <c r="D2349" s="232" t="s">
        <v>2188</v>
      </c>
      <c r="E2349" s="272" t="s">
        <v>1243</v>
      </c>
      <c r="F2349" s="155" t="str">
        <f>_xlfn.XLOOKUP(B2349,STUDIES!$A$3:$A$1063,STUDIES!$G$3:$G$1063,"Not Found!")</f>
        <v>A</v>
      </c>
      <c r="G2349" s="273" t="s">
        <v>147</v>
      </c>
      <c r="H2349" s="273">
        <v>16</v>
      </c>
      <c r="I2349" s="273">
        <v>54</v>
      </c>
      <c r="J2349" s="274">
        <f>0.5*I2349</f>
        <v>27</v>
      </c>
    </row>
    <row r="2350" spans="1:10" ht="18" customHeight="1" x14ac:dyDescent="0.35">
      <c r="A2350" s="274">
        <f>MATCH(B2350,STUDIES!$A$3:$A$502,0)</f>
        <v>99</v>
      </c>
      <c r="B2350" s="86" t="s">
        <v>2182</v>
      </c>
      <c r="D2350" s="232" t="s">
        <v>2187</v>
      </c>
      <c r="E2350" s="272" t="s">
        <v>1243</v>
      </c>
      <c r="F2350" s="155" t="str">
        <f>_xlfn.XLOOKUP(B2350,STUDIES!$A$3:$A$1063,STUDIES!$G$3:$G$1063,"Not Found!")</f>
        <v>A</v>
      </c>
      <c r="G2350" s="273" t="s">
        <v>147</v>
      </c>
      <c r="H2350" s="273">
        <v>16</v>
      </c>
      <c r="I2350" s="273">
        <v>55</v>
      </c>
      <c r="J2350" s="274">
        <f>0.482*I2350</f>
        <v>26.509999999999998</v>
      </c>
    </row>
    <row r="2351" spans="1:10" ht="18" customHeight="1" x14ac:dyDescent="0.35">
      <c r="A2351" s="274">
        <f>MATCH(B2351,STUDIES!$A$3:$A$502,0)</f>
        <v>99</v>
      </c>
      <c r="B2351" s="86" t="s">
        <v>2182</v>
      </c>
      <c r="D2351" s="232" t="s">
        <v>2186</v>
      </c>
      <c r="E2351" s="272" t="s">
        <v>1243</v>
      </c>
      <c r="F2351" s="155" t="str">
        <f>_xlfn.XLOOKUP(B2351,STUDIES!$A$3:$A$1063,STUDIES!$G$3:$G$1063,"Not Found!")</f>
        <v>A</v>
      </c>
      <c r="G2351" s="273" t="s">
        <v>147</v>
      </c>
      <c r="H2351" s="273">
        <v>16</v>
      </c>
      <c r="I2351" s="273">
        <v>55</v>
      </c>
      <c r="J2351" s="274">
        <f>0.527*I2351</f>
        <v>28.985000000000003</v>
      </c>
    </row>
    <row r="2352" spans="1:10" ht="18" customHeight="1" x14ac:dyDescent="0.35">
      <c r="A2352" s="274">
        <f>MATCH(B2352,STUDIES!$A$3:$A$502,0)</f>
        <v>99</v>
      </c>
      <c r="B2352" s="86" t="s">
        <v>2182</v>
      </c>
      <c r="D2352" s="232" t="s">
        <v>148</v>
      </c>
      <c r="E2352" s="272" t="s">
        <v>1243</v>
      </c>
      <c r="F2352" s="155" t="str">
        <f>_xlfn.XLOOKUP(B2352,STUDIES!$A$3:$A$1063,STUDIES!$G$3:$G$1063,"Not Found!")</f>
        <v>A</v>
      </c>
      <c r="G2352" s="273" t="s">
        <v>147</v>
      </c>
      <c r="H2352" s="273">
        <v>16</v>
      </c>
      <c r="I2352" s="273">
        <v>56</v>
      </c>
      <c r="J2352" s="274">
        <f>0.263*I2352</f>
        <v>14.728000000000002</v>
      </c>
    </row>
    <row r="2353" spans="1:10" ht="18" customHeight="1" x14ac:dyDescent="0.35">
      <c r="A2353" s="274">
        <f>MATCH(B2353,STUDIES!$A$3:$A$502,0)</f>
        <v>99</v>
      </c>
      <c r="B2353" s="86" t="s">
        <v>2182</v>
      </c>
      <c r="D2353" s="232" t="s">
        <v>2188</v>
      </c>
      <c r="E2353" s="272" t="s">
        <v>1244</v>
      </c>
      <c r="F2353" s="155" t="str">
        <f>_xlfn.XLOOKUP(B2353,STUDIES!$A$3:$A$1063,STUDIES!$G$3:$G$1063,"Not Found!")</f>
        <v>A</v>
      </c>
      <c r="G2353" s="273" t="s">
        <v>147</v>
      </c>
      <c r="H2353" s="273">
        <v>16</v>
      </c>
      <c r="I2353" s="273">
        <v>54</v>
      </c>
      <c r="J2353" s="274">
        <f>0.315*I2353</f>
        <v>17.010000000000002</v>
      </c>
    </row>
    <row r="2354" spans="1:10" ht="18" customHeight="1" x14ac:dyDescent="0.35">
      <c r="A2354" s="274">
        <f>MATCH(B2354,STUDIES!$A$3:$A$502,0)</f>
        <v>99</v>
      </c>
      <c r="B2354" s="86" t="s">
        <v>2182</v>
      </c>
      <c r="D2354" s="232" t="s">
        <v>2187</v>
      </c>
      <c r="E2354" s="272" t="s">
        <v>1244</v>
      </c>
      <c r="F2354" s="155" t="str">
        <f>_xlfn.XLOOKUP(B2354,STUDIES!$A$3:$A$1063,STUDIES!$G$3:$G$1063,"Not Found!")</f>
        <v>A</v>
      </c>
      <c r="G2354" s="273" t="s">
        <v>147</v>
      </c>
      <c r="H2354" s="273">
        <v>16</v>
      </c>
      <c r="I2354" s="273">
        <v>55</v>
      </c>
      <c r="J2354" s="274">
        <f>0.24*55</f>
        <v>13.2</v>
      </c>
    </row>
    <row r="2355" spans="1:10" ht="18" customHeight="1" x14ac:dyDescent="0.35">
      <c r="A2355" s="274">
        <f>MATCH(B2355,STUDIES!$A$3:$A$502,0)</f>
        <v>99</v>
      </c>
      <c r="B2355" s="86" t="s">
        <v>2182</v>
      </c>
      <c r="D2355" s="232" t="s">
        <v>2186</v>
      </c>
      <c r="E2355" s="272" t="s">
        <v>1244</v>
      </c>
      <c r="F2355" s="155" t="str">
        <f>_xlfn.XLOOKUP(B2355,STUDIES!$A$3:$A$1063,STUDIES!$G$3:$G$1063,"Not Found!")</f>
        <v>A</v>
      </c>
      <c r="G2355" s="273" t="s">
        <v>147</v>
      </c>
      <c r="H2355" s="273">
        <v>16</v>
      </c>
      <c r="I2355" s="273">
        <v>55</v>
      </c>
      <c r="J2355" s="274">
        <f>0.291*I2355</f>
        <v>16.004999999999999</v>
      </c>
    </row>
    <row r="2356" spans="1:10" ht="18" customHeight="1" x14ac:dyDescent="0.35">
      <c r="A2356" s="274">
        <f>MATCH(B2356,STUDIES!$A$3:$A$502,0)</f>
        <v>99</v>
      </c>
      <c r="B2356" s="86" t="s">
        <v>2182</v>
      </c>
      <c r="D2356" s="232" t="s">
        <v>148</v>
      </c>
      <c r="E2356" s="272" t="s">
        <v>1244</v>
      </c>
      <c r="F2356" s="155" t="str">
        <f>_xlfn.XLOOKUP(B2356,STUDIES!$A$3:$A$1063,STUDIES!$G$3:$G$1063,"Not Found!")</f>
        <v>A</v>
      </c>
      <c r="G2356" s="273" t="s">
        <v>147</v>
      </c>
      <c r="H2356" s="273">
        <v>16</v>
      </c>
      <c r="I2356" s="273">
        <v>56</v>
      </c>
      <c r="J2356" s="274">
        <f>0.134*I2356</f>
        <v>7.5040000000000004</v>
      </c>
    </row>
    <row r="2357" spans="1:10" ht="18" customHeight="1" x14ac:dyDescent="0.35">
      <c r="A2357" s="274">
        <f>MATCH(B2357,STUDIES!$A$3:$A$502,0)</f>
        <v>99</v>
      </c>
      <c r="B2357" s="86" t="s">
        <v>2182</v>
      </c>
      <c r="D2357" s="232" t="s">
        <v>2188</v>
      </c>
      <c r="E2357" s="272" t="s">
        <v>1163</v>
      </c>
      <c r="F2357" s="155" t="str">
        <f>_xlfn.XLOOKUP(B2357,STUDIES!$A$3:$A$1063,STUDIES!$G$3:$G$1063,"Not Found!")</f>
        <v>A</v>
      </c>
      <c r="G2357" s="273" t="s">
        <v>147</v>
      </c>
      <c r="H2357" s="273">
        <v>16</v>
      </c>
      <c r="I2357" s="273">
        <v>54</v>
      </c>
      <c r="J2357" s="274">
        <v>2</v>
      </c>
    </row>
    <row r="2358" spans="1:10" ht="18" customHeight="1" x14ac:dyDescent="0.35">
      <c r="A2358" s="274">
        <f>MATCH(B2358,STUDIES!$A$3:$A$502,0)</f>
        <v>99</v>
      </c>
      <c r="B2358" s="86" t="s">
        <v>2182</v>
      </c>
      <c r="D2358" s="232" t="s">
        <v>2187</v>
      </c>
      <c r="E2358" s="272" t="s">
        <v>1163</v>
      </c>
      <c r="F2358" s="155" t="str">
        <f>_xlfn.XLOOKUP(B2358,STUDIES!$A$3:$A$1063,STUDIES!$G$3:$G$1063,"Not Found!")</f>
        <v>A</v>
      </c>
      <c r="G2358" s="273" t="s">
        <v>147</v>
      </c>
      <c r="H2358" s="273">
        <v>16</v>
      </c>
      <c r="I2358" s="273">
        <v>55</v>
      </c>
      <c r="J2358" s="274">
        <v>1</v>
      </c>
    </row>
    <row r="2359" spans="1:10" ht="18" customHeight="1" x14ac:dyDescent="0.35">
      <c r="A2359" s="274">
        <f>MATCH(B2359,STUDIES!$A$3:$A$502,0)</f>
        <v>99</v>
      </c>
      <c r="B2359" s="86" t="s">
        <v>2182</v>
      </c>
      <c r="D2359" s="232" t="s">
        <v>2186</v>
      </c>
      <c r="E2359" s="272" t="s">
        <v>1163</v>
      </c>
      <c r="F2359" s="155" t="str">
        <f>_xlfn.XLOOKUP(B2359,STUDIES!$A$3:$A$1063,STUDIES!$G$3:$G$1063,"Not Found!")</f>
        <v>A</v>
      </c>
      <c r="G2359" s="273" t="s">
        <v>147</v>
      </c>
      <c r="H2359" s="273">
        <v>16</v>
      </c>
      <c r="I2359" s="273">
        <v>55</v>
      </c>
      <c r="J2359" s="274">
        <v>2</v>
      </c>
    </row>
    <row r="2360" spans="1:10" ht="18" customHeight="1" x14ac:dyDescent="0.35">
      <c r="A2360" s="274">
        <f>MATCH(B2360,STUDIES!$A$3:$A$502,0)</f>
        <v>99</v>
      </c>
      <c r="B2360" s="86" t="s">
        <v>2182</v>
      </c>
      <c r="D2360" s="232" t="s">
        <v>148</v>
      </c>
      <c r="E2360" s="272" t="s">
        <v>1163</v>
      </c>
      <c r="F2360" s="155" t="str">
        <f>_xlfn.XLOOKUP(B2360,STUDIES!$A$3:$A$1063,STUDIES!$G$3:$G$1063,"Not Found!")</f>
        <v>A</v>
      </c>
      <c r="G2360" s="273" t="s">
        <v>147</v>
      </c>
      <c r="H2360" s="273">
        <v>16</v>
      </c>
      <c r="I2360" s="273">
        <v>56</v>
      </c>
      <c r="J2360" s="274">
        <v>4</v>
      </c>
    </row>
    <row r="2361" spans="1:10" ht="18" customHeight="1" x14ac:dyDescent="0.35">
      <c r="A2361" s="274">
        <f>MATCH(B2361,STUDIES!$A$3:$A$502,0)</f>
        <v>99</v>
      </c>
      <c r="B2361" s="86" t="s">
        <v>2182</v>
      </c>
      <c r="D2361" s="232" t="s">
        <v>2188</v>
      </c>
      <c r="E2361" s="272" t="s">
        <v>1167</v>
      </c>
      <c r="F2361" s="155" t="str">
        <f>_xlfn.XLOOKUP(B2361,STUDIES!$A$3:$A$1063,STUDIES!$G$3:$G$1063,"Not Found!")</f>
        <v>A</v>
      </c>
      <c r="G2361" s="273" t="s">
        <v>147</v>
      </c>
      <c r="H2361" s="273">
        <v>16</v>
      </c>
      <c r="I2361" s="273">
        <v>54</v>
      </c>
      <c r="J2361" s="274">
        <v>4</v>
      </c>
    </row>
    <row r="2362" spans="1:10" ht="18" customHeight="1" x14ac:dyDescent="0.35">
      <c r="A2362" s="274">
        <f>MATCH(B2362,STUDIES!$A$3:$A$502,0)</f>
        <v>99</v>
      </c>
      <c r="B2362" s="86" t="s">
        <v>2182</v>
      </c>
      <c r="D2362" s="232" t="s">
        <v>2187</v>
      </c>
      <c r="E2362" s="272" t="s">
        <v>1167</v>
      </c>
      <c r="F2362" s="155" t="str">
        <f>_xlfn.XLOOKUP(B2362,STUDIES!$A$3:$A$1063,STUDIES!$G$3:$G$1063,"Not Found!")</f>
        <v>A</v>
      </c>
      <c r="G2362" s="273" t="s">
        <v>147</v>
      </c>
      <c r="H2362" s="273">
        <v>16</v>
      </c>
      <c r="I2362" s="273">
        <v>55</v>
      </c>
      <c r="J2362" s="274">
        <v>2</v>
      </c>
    </row>
    <row r="2363" spans="1:10" ht="18" customHeight="1" x14ac:dyDescent="0.35">
      <c r="A2363" s="274">
        <f>MATCH(B2363,STUDIES!$A$3:$A$502,0)</f>
        <v>99</v>
      </c>
      <c r="B2363" s="86" t="s">
        <v>2182</v>
      </c>
      <c r="D2363" s="232" t="s">
        <v>2186</v>
      </c>
      <c r="E2363" s="272" t="s">
        <v>1167</v>
      </c>
      <c r="F2363" s="155" t="str">
        <f>_xlfn.XLOOKUP(B2363,STUDIES!$A$3:$A$1063,STUDIES!$G$3:$G$1063,"Not Found!")</f>
        <v>A</v>
      </c>
      <c r="G2363" s="273" t="s">
        <v>147</v>
      </c>
      <c r="H2363" s="273">
        <v>16</v>
      </c>
      <c r="I2363" s="273">
        <v>55</v>
      </c>
      <c r="J2363" s="274">
        <v>1</v>
      </c>
    </row>
    <row r="2364" spans="1:10" ht="18" customHeight="1" x14ac:dyDescent="0.35">
      <c r="A2364" s="274">
        <f>MATCH(B2364,STUDIES!$A$3:$A$502,0)</f>
        <v>99</v>
      </c>
      <c r="B2364" s="86" t="s">
        <v>2182</v>
      </c>
      <c r="D2364" s="232" t="s">
        <v>148</v>
      </c>
      <c r="E2364" s="272" t="s">
        <v>1167</v>
      </c>
      <c r="F2364" s="155" t="str">
        <f>_xlfn.XLOOKUP(B2364,STUDIES!$A$3:$A$1063,STUDIES!$G$3:$G$1063,"Not Found!")</f>
        <v>A</v>
      </c>
      <c r="G2364" s="273" t="s">
        <v>147</v>
      </c>
      <c r="H2364" s="273">
        <v>16</v>
      </c>
      <c r="I2364" s="273">
        <v>56</v>
      </c>
      <c r="J2364" s="274">
        <v>2</v>
      </c>
    </row>
    <row r="2365" spans="1:10" ht="18" customHeight="1" x14ac:dyDescent="0.35">
      <c r="A2365" s="274">
        <f>MATCH(B2365,STUDIES!$A$3:$A$502,0)</f>
        <v>100</v>
      </c>
      <c r="B2365" s="86" t="s">
        <v>1916</v>
      </c>
      <c r="D2365" s="232" t="s">
        <v>1922</v>
      </c>
      <c r="E2365" s="272" t="s">
        <v>1268</v>
      </c>
      <c r="F2365" s="155" t="str">
        <f>_xlfn.XLOOKUP(B2365,STUDIES!$A$3:$A$1063,STUDIES!$G$3:$G$1063,"Not Found!")</f>
        <v>A</v>
      </c>
      <c r="G2365" s="273" t="s">
        <v>147</v>
      </c>
      <c r="H2365" s="273">
        <v>16</v>
      </c>
      <c r="I2365" s="273">
        <v>34</v>
      </c>
      <c r="J2365" s="274">
        <v>5</v>
      </c>
    </row>
    <row r="2366" spans="1:10" ht="18" customHeight="1" x14ac:dyDescent="0.35">
      <c r="A2366" s="274">
        <f>MATCH(B2366,STUDIES!$A$3:$A$502,0)</f>
        <v>100</v>
      </c>
      <c r="B2366" s="86" t="s">
        <v>1916</v>
      </c>
      <c r="D2366" s="232" t="s">
        <v>1923</v>
      </c>
      <c r="E2366" s="272" t="s">
        <v>1268</v>
      </c>
      <c r="F2366" s="155" t="str">
        <f>_xlfn.XLOOKUP(B2366,STUDIES!$A$3:$A$1063,STUDIES!$G$3:$G$1063,"Not Found!")</f>
        <v>A</v>
      </c>
      <c r="G2366" s="273" t="s">
        <v>147</v>
      </c>
      <c r="H2366" s="273">
        <v>16</v>
      </c>
      <c r="I2366" s="273">
        <v>17</v>
      </c>
      <c r="J2366" s="274">
        <v>2</v>
      </c>
    </row>
    <row r="2367" spans="1:10" ht="18" customHeight="1" x14ac:dyDescent="0.35">
      <c r="A2367" s="274">
        <f>MATCH(B2367,STUDIES!$A$3:$A$502,0)</f>
        <v>100</v>
      </c>
      <c r="B2367" s="86" t="s">
        <v>1916</v>
      </c>
      <c r="D2367" s="232" t="s">
        <v>148</v>
      </c>
      <c r="E2367" s="272" t="s">
        <v>1268</v>
      </c>
      <c r="F2367" s="155" t="str">
        <f>_xlfn.XLOOKUP(B2367,STUDIES!$A$3:$A$1063,STUDIES!$G$3:$G$1063,"Not Found!")</f>
        <v>A</v>
      </c>
      <c r="G2367" s="273" t="s">
        <v>147</v>
      </c>
      <c r="H2367" s="273">
        <v>16</v>
      </c>
      <c r="I2367" s="273">
        <v>16</v>
      </c>
      <c r="J2367" s="274">
        <v>0</v>
      </c>
    </row>
    <row r="2368" spans="1:10" ht="18" customHeight="1" x14ac:dyDescent="0.35">
      <c r="A2368" s="274">
        <f>MATCH(B2368,STUDIES!$A$3:$A$502,0)</f>
        <v>100</v>
      </c>
      <c r="B2368" s="86" t="s">
        <v>1916</v>
      </c>
      <c r="D2368" s="232" t="s">
        <v>1922</v>
      </c>
      <c r="E2368" s="272" t="s">
        <v>1163</v>
      </c>
      <c r="F2368" s="155" t="str">
        <f>_xlfn.XLOOKUP(B2368,STUDIES!$A$3:$A$1063,STUDIES!$G$3:$G$1063,"Not Found!")</f>
        <v>A</v>
      </c>
      <c r="G2368" s="273" t="s">
        <v>147</v>
      </c>
      <c r="H2368" s="273">
        <v>16</v>
      </c>
      <c r="I2368" s="273">
        <v>34</v>
      </c>
      <c r="J2368" s="274">
        <v>1</v>
      </c>
    </row>
    <row r="2369" spans="1:26" ht="18" customHeight="1" x14ac:dyDescent="0.35">
      <c r="A2369" s="274">
        <f>MATCH(B2369,STUDIES!$A$3:$A$502,0)</f>
        <v>100</v>
      </c>
      <c r="B2369" s="86" t="s">
        <v>1916</v>
      </c>
      <c r="D2369" s="232" t="s">
        <v>1923</v>
      </c>
      <c r="E2369" s="272" t="s">
        <v>1163</v>
      </c>
      <c r="F2369" s="155" t="str">
        <f>_xlfn.XLOOKUP(B2369,STUDIES!$A$3:$A$1063,STUDIES!$G$3:$G$1063,"Not Found!")</f>
        <v>A</v>
      </c>
      <c r="G2369" s="273" t="s">
        <v>147</v>
      </c>
      <c r="H2369" s="273">
        <v>16</v>
      </c>
      <c r="I2369" s="273">
        <v>17</v>
      </c>
      <c r="J2369" s="274">
        <v>1</v>
      </c>
    </row>
    <row r="2370" spans="1:26" ht="18" customHeight="1" x14ac:dyDescent="0.35">
      <c r="A2370" s="274">
        <f>MATCH(B2370,STUDIES!$A$3:$A$502,0)</f>
        <v>100</v>
      </c>
      <c r="B2370" s="86" t="s">
        <v>1916</v>
      </c>
      <c r="D2370" s="232" t="s">
        <v>148</v>
      </c>
      <c r="E2370" s="272" t="s">
        <v>1163</v>
      </c>
      <c r="F2370" s="155" t="str">
        <f>_xlfn.XLOOKUP(B2370,STUDIES!$A$3:$A$1063,STUDIES!$G$3:$G$1063,"Not Found!")</f>
        <v>A</v>
      </c>
      <c r="G2370" s="273" t="s">
        <v>147</v>
      </c>
      <c r="H2370" s="273">
        <v>16</v>
      </c>
      <c r="I2370" s="273">
        <v>16</v>
      </c>
      <c r="J2370" s="274">
        <v>0</v>
      </c>
    </row>
    <row r="2371" spans="1:26" ht="18" customHeight="1" x14ac:dyDescent="0.35">
      <c r="A2371" s="274">
        <f>MATCH(B2371,STUDIES!$A$3:$A$502,0)</f>
        <v>100</v>
      </c>
      <c r="B2371" s="86" t="s">
        <v>1916</v>
      </c>
      <c r="D2371" s="232" t="s">
        <v>1922</v>
      </c>
      <c r="E2371" s="272" t="s">
        <v>1167</v>
      </c>
      <c r="F2371" s="155" t="str">
        <f>_xlfn.XLOOKUP(B2371,STUDIES!$A$3:$A$1063,STUDIES!$G$3:$G$1063,"Not Found!")</f>
        <v>A</v>
      </c>
      <c r="G2371" s="273" t="s">
        <v>147</v>
      </c>
      <c r="H2371" s="273">
        <v>16</v>
      </c>
      <c r="I2371" s="273">
        <v>34</v>
      </c>
      <c r="J2371" s="274">
        <v>0</v>
      </c>
    </row>
    <row r="2372" spans="1:26" ht="18" customHeight="1" x14ac:dyDescent="0.35">
      <c r="A2372" s="274">
        <f>MATCH(B2372,STUDIES!$A$3:$A$502,0)</f>
        <v>100</v>
      </c>
      <c r="B2372" s="86" t="s">
        <v>1916</v>
      </c>
      <c r="D2372" s="232" t="s">
        <v>1923</v>
      </c>
      <c r="E2372" s="272" t="s">
        <v>1167</v>
      </c>
      <c r="F2372" s="155" t="str">
        <f>_xlfn.XLOOKUP(B2372,STUDIES!$A$3:$A$1063,STUDIES!$G$3:$G$1063,"Not Found!")</f>
        <v>A</v>
      </c>
      <c r="G2372" s="273" t="s">
        <v>147</v>
      </c>
      <c r="H2372" s="273">
        <v>16</v>
      </c>
      <c r="I2372" s="273">
        <v>17</v>
      </c>
      <c r="J2372" s="274">
        <v>0</v>
      </c>
    </row>
    <row r="2373" spans="1:26" ht="18" customHeight="1" x14ac:dyDescent="0.35">
      <c r="A2373" s="274">
        <f>MATCH(B2373,STUDIES!$A$3:$A$502,0)</f>
        <v>100</v>
      </c>
      <c r="B2373" s="86" t="s">
        <v>1916</v>
      </c>
      <c r="D2373" s="232" t="s">
        <v>148</v>
      </c>
      <c r="E2373" s="272" t="s">
        <v>1167</v>
      </c>
      <c r="F2373" s="155" t="str">
        <f>_xlfn.XLOOKUP(B2373,STUDIES!$A$3:$A$1063,STUDIES!$G$3:$G$1063,"Not Found!")</f>
        <v>A</v>
      </c>
      <c r="G2373" s="273" t="s">
        <v>147</v>
      </c>
      <c r="H2373" s="273">
        <v>16</v>
      </c>
      <c r="I2373" s="273">
        <v>16</v>
      </c>
      <c r="J2373" s="274">
        <v>1</v>
      </c>
    </row>
    <row r="2374" spans="1:26" ht="18" customHeight="1" x14ac:dyDescent="0.35">
      <c r="A2374" s="274">
        <f>MATCH(B2374,STUDIES!$A$3:$A$502,0)</f>
        <v>101</v>
      </c>
      <c r="B2374" s="86" t="s">
        <v>1926</v>
      </c>
      <c r="D2374" s="281" t="s">
        <v>148</v>
      </c>
      <c r="E2374" s="272" t="s">
        <v>151</v>
      </c>
      <c r="F2374" s="155" t="str">
        <f>_xlfn.XLOOKUP(B2374,STUDIES!$A$3:$A$1063,STUDIES!$G$3:$G$1063,"Not Found!")</f>
        <v>BC</v>
      </c>
      <c r="G2374" s="273" t="s">
        <v>1836</v>
      </c>
      <c r="H2374" s="273">
        <v>16</v>
      </c>
      <c r="I2374" s="273">
        <v>32</v>
      </c>
      <c r="K2374" s="268">
        <v>26.5</v>
      </c>
      <c r="M2374" s="268">
        <v>7.5</v>
      </c>
      <c r="X2374" s="276">
        <v>19.8</v>
      </c>
      <c r="Z2374" s="268">
        <v>14.4</v>
      </c>
    </row>
    <row r="2375" spans="1:26" ht="18" customHeight="1" x14ac:dyDescent="0.35">
      <c r="A2375" s="274">
        <f>MATCH(B2375,STUDIES!$A$3:$A$502,0)</f>
        <v>101</v>
      </c>
      <c r="B2375" s="86" t="s">
        <v>1926</v>
      </c>
      <c r="D2375" s="281" t="s">
        <v>1934</v>
      </c>
      <c r="E2375" s="272" t="s">
        <v>151</v>
      </c>
      <c r="F2375" s="155" t="str">
        <f>_xlfn.XLOOKUP(B2375,STUDIES!$A$3:$A$1063,STUDIES!$G$3:$G$1063,"Not Found!")</f>
        <v>BC</v>
      </c>
      <c r="G2375" s="273" t="s">
        <v>147</v>
      </c>
      <c r="H2375" s="273">
        <v>16</v>
      </c>
      <c r="I2375" s="273">
        <v>29</v>
      </c>
      <c r="K2375" s="268">
        <v>23.9</v>
      </c>
      <c r="M2375" s="268">
        <v>5.7</v>
      </c>
      <c r="X2375" s="276">
        <v>8.9</v>
      </c>
      <c r="Z2375" s="268">
        <v>7</v>
      </c>
    </row>
    <row r="2376" spans="1:26" ht="18" customHeight="1" x14ac:dyDescent="0.35">
      <c r="A2376" s="274">
        <f>MATCH(B2376,STUDIES!$A$3:$A$502,0)</f>
        <v>101</v>
      </c>
      <c r="B2376" s="86" t="s">
        <v>1926</v>
      </c>
      <c r="D2376" s="281" t="s">
        <v>148</v>
      </c>
      <c r="E2376" s="272" t="s">
        <v>1243</v>
      </c>
      <c r="F2376" s="155" t="str">
        <f>_xlfn.XLOOKUP(B2376,STUDIES!$A$3:$A$1063,STUDIES!$G$3:$G$1063,"Not Found!")</f>
        <v>BC</v>
      </c>
      <c r="G2376" s="273" t="s">
        <v>1836</v>
      </c>
      <c r="H2376" s="273">
        <v>16</v>
      </c>
      <c r="I2376" s="273">
        <v>32</v>
      </c>
      <c r="J2376" s="274">
        <v>6</v>
      </c>
    </row>
    <row r="2377" spans="1:26" ht="18" customHeight="1" x14ac:dyDescent="0.35">
      <c r="A2377" s="274">
        <f>MATCH(B2377,STUDIES!$A$3:$A$502,0)</f>
        <v>101</v>
      </c>
      <c r="B2377" s="86" t="s">
        <v>1926</v>
      </c>
      <c r="D2377" s="281" t="s">
        <v>1934</v>
      </c>
      <c r="E2377" s="272" t="s">
        <v>1243</v>
      </c>
      <c r="F2377" s="155" t="str">
        <f>_xlfn.XLOOKUP(B2377,STUDIES!$A$3:$A$1063,STUDIES!$G$3:$G$1063,"Not Found!")</f>
        <v>BC</v>
      </c>
      <c r="G2377" s="273" t="s">
        <v>147</v>
      </c>
      <c r="H2377" s="273">
        <v>16</v>
      </c>
      <c r="I2377" s="273">
        <v>30</v>
      </c>
      <c r="J2377" s="274">
        <v>13</v>
      </c>
    </row>
    <row r="2378" spans="1:26" ht="18" customHeight="1" x14ac:dyDescent="0.35">
      <c r="A2378" s="274">
        <f>MATCH(B2378,STUDIES!$A$3:$A$502,0)</f>
        <v>101</v>
      </c>
      <c r="B2378" s="86" t="s">
        <v>1926</v>
      </c>
      <c r="D2378" s="281" t="s">
        <v>148</v>
      </c>
      <c r="E2378" s="272" t="s">
        <v>1268</v>
      </c>
      <c r="F2378" s="155" t="str">
        <f>_xlfn.XLOOKUP(B2378,STUDIES!$A$3:$A$1063,STUDIES!$G$3:$G$1063,"Not Found!")</f>
        <v>BC</v>
      </c>
      <c r="G2378" s="273" t="s">
        <v>1836</v>
      </c>
      <c r="H2378" s="273">
        <v>16</v>
      </c>
      <c r="I2378" s="273">
        <v>32</v>
      </c>
      <c r="J2378" s="274">
        <v>3</v>
      </c>
    </row>
    <row r="2379" spans="1:26" ht="18" customHeight="1" x14ac:dyDescent="0.35">
      <c r="A2379" s="274">
        <f>MATCH(B2379,STUDIES!$A$3:$A$502,0)</f>
        <v>101</v>
      </c>
      <c r="B2379" s="86" t="s">
        <v>1926</v>
      </c>
      <c r="D2379" s="281" t="s">
        <v>1934</v>
      </c>
      <c r="E2379" s="272" t="s">
        <v>1268</v>
      </c>
      <c r="F2379" s="155" t="str">
        <f>_xlfn.XLOOKUP(B2379,STUDIES!$A$3:$A$1063,STUDIES!$G$3:$G$1063,"Not Found!")</f>
        <v>BC</v>
      </c>
      <c r="G2379" s="273" t="s">
        <v>147</v>
      </c>
      <c r="H2379" s="273">
        <v>16</v>
      </c>
      <c r="I2379" s="273">
        <v>30</v>
      </c>
      <c r="J2379" s="274">
        <v>3</v>
      </c>
    </row>
    <row r="2380" spans="1:26" ht="18" customHeight="1" x14ac:dyDescent="0.35">
      <c r="A2380" s="274">
        <f>MATCH(B2380,STUDIES!$A$3:$A$502,0)</f>
        <v>101</v>
      </c>
      <c r="B2380" s="86" t="s">
        <v>1926</v>
      </c>
      <c r="D2380" s="281" t="s">
        <v>148</v>
      </c>
      <c r="E2380" s="272" t="s">
        <v>695</v>
      </c>
      <c r="F2380" s="155" t="str">
        <f>_xlfn.XLOOKUP(B2380,STUDIES!$A$3:$A$1063,STUDIES!$G$3:$G$1063,"Not Found!")</f>
        <v>BC</v>
      </c>
      <c r="G2380" s="273" t="s">
        <v>1836</v>
      </c>
      <c r="H2380" s="273">
        <v>16</v>
      </c>
      <c r="I2380" s="273">
        <v>32</v>
      </c>
      <c r="K2380" s="268">
        <v>7.4</v>
      </c>
      <c r="M2380" s="268">
        <v>1.5</v>
      </c>
      <c r="X2380" s="276">
        <v>6.2</v>
      </c>
      <c r="Z2380" s="268">
        <v>2.2999999999999998</v>
      </c>
    </row>
    <row r="2381" spans="1:26" ht="18" customHeight="1" x14ac:dyDescent="0.35">
      <c r="A2381" s="274">
        <f>MATCH(B2381,STUDIES!$A$3:$A$502,0)</f>
        <v>101</v>
      </c>
      <c r="B2381" s="86" t="s">
        <v>1926</v>
      </c>
      <c r="D2381" s="281" t="s">
        <v>1934</v>
      </c>
      <c r="E2381" s="272" t="s">
        <v>695</v>
      </c>
      <c r="F2381" s="155" t="str">
        <f>_xlfn.XLOOKUP(B2381,STUDIES!$A$3:$A$1063,STUDIES!$G$3:$G$1063,"Not Found!")</f>
        <v>BC</v>
      </c>
      <c r="G2381" s="273" t="s">
        <v>147</v>
      </c>
      <c r="H2381" s="273">
        <v>16</v>
      </c>
      <c r="I2381" s="273">
        <v>27</v>
      </c>
      <c r="K2381" s="268">
        <v>7.4</v>
      </c>
      <c r="M2381" s="268">
        <v>1.3</v>
      </c>
      <c r="X2381" s="276">
        <v>4.7</v>
      </c>
      <c r="Z2381" s="268">
        <v>2.5</v>
      </c>
    </row>
    <row r="2382" spans="1:26" ht="18" customHeight="1" x14ac:dyDescent="0.35">
      <c r="A2382" s="274">
        <f>MATCH(B2382,STUDIES!$A$3:$A$502,0)</f>
        <v>101</v>
      </c>
      <c r="B2382" s="86" t="s">
        <v>1926</v>
      </c>
      <c r="D2382" s="281" t="s">
        <v>148</v>
      </c>
      <c r="E2382" s="272" t="s">
        <v>1258</v>
      </c>
      <c r="F2382" s="155" t="str">
        <f>_xlfn.XLOOKUP(B2382,STUDIES!$A$3:$A$1063,STUDIES!$G$3:$G$1063,"Not Found!")</f>
        <v>BC</v>
      </c>
      <c r="G2382" s="273" t="s">
        <v>1836</v>
      </c>
      <c r="H2382" s="273">
        <v>16</v>
      </c>
      <c r="I2382" s="273">
        <v>32</v>
      </c>
      <c r="J2382" s="274">
        <v>10</v>
      </c>
    </row>
    <row r="2383" spans="1:26" ht="18" customHeight="1" x14ac:dyDescent="0.35">
      <c r="A2383" s="274">
        <f>MATCH(B2383,STUDIES!$A$3:$A$502,0)</f>
        <v>101</v>
      </c>
      <c r="B2383" s="86" t="s">
        <v>1926</v>
      </c>
      <c r="D2383" s="281" t="s">
        <v>1934</v>
      </c>
      <c r="E2383" s="272" t="s">
        <v>1258</v>
      </c>
      <c r="F2383" s="155" t="str">
        <f>_xlfn.XLOOKUP(B2383,STUDIES!$A$3:$A$1063,STUDIES!$G$3:$G$1063,"Not Found!")</f>
        <v>BC</v>
      </c>
      <c r="G2383" s="273" t="s">
        <v>147</v>
      </c>
      <c r="H2383" s="273">
        <v>16</v>
      </c>
      <c r="I2383" s="273">
        <v>30</v>
      </c>
      <c r="J2383" s="274">
        <v>22</v>
      </c>
    </row>
    <row r="2384" spans="1:26" ht="18" customHeight="1" x14ac:dyDescent="0.35">
      <c r="A2384" s="274">
        <f>MATCH(B2384,STUDIES!$A$3:$A$502,0)</f>
        <v>101</v>
      </c>
      <c r="B2384" s="86" t="s">
        <v>1926</v>
      </c>
      <c r="D2384" s="281" t="s">
        <v>148</v>
      </c>
      <c r="E2384" s="272" t="s">
        <v>1244</v>
      </c>
      <c r="F2384" s="155" t="str">
        <f>_xlfn.XLOOKUP(B2384,STUDIES!$A$3:$A$1063,STUDIES!$G$3:$G$1063,"Not Found!")</f>
        <v>BC</v>
      </c>
      <c r="G2384" s="273" t="s">
        <v>1836</v>
      </c>
      <c r="H2384" s="273">
        <v>16</v>
      </c>
      <c r="I2384" s="273">
        <v>32</v>
      </c>
      <c r="J2384" s="274">
        <v>4</v>
      </c>
    </row>
    <row r="2385" spans="1:23" ht="18" customHeight="1" x14ac:dyDescent="0.35">
      <c r="A2385" s="274">
        <f>MATCH(B2385,STUDIES!$A$3:$A$502,0)</f>
        <v>101</v>
      </c>
      <c r="B2385" s="86" t="s">
        <v>1926</v>
      </c>
      <c r="D2385" s="281" t="s">
        <v>1934</v>
      </c>
      <c r="E2385" s="272" t="s">
        <v>1244</v>
      </c>
      <c r="F2385" s="155" t="str">
        <f>_xlfn.XLOOKUP(B2385,STUDIES!$A$3:$A$1063,STUDIES!$G$3:$G$1063,"Not Found!")</f>
        <v>BC</v>
      </c>
      <c r="G2385" s="273" t="s">
        <v>147</v>
      </c>
      <c r="H2385" s="273">
        <v>16</v>
      </c>
      <c r="I2385" s="273">
        <v>30</v>
      </c>
      <c r="J2385" s="274">
        <v>2</v>
      </c>
    </row>
    <row r="2386" spans="1:23" ht="18" customHeight="1" x14ac:dyDescent="0.35">
      <c r="A2386" s="274">
        <f>MATCH(B2386,STUDIES!$A$3:$A$502,0)</f>
        <v>101</v>
      </c>
      <c r="B2386" s="86" t="s">
        <v>1926</v>
      </c>
      <c r="D2386" s="281" t="s">
        <v>148</v>
      </c>
      <c r="E2386" s="272" t="s">
        <v>153</v>
      </c>
      <c r="F2386" s="155" t="str">
        <f>_xlfn.XLOOKUP(B2386,STUDIES!$A$3:$A$1063,STUDIES!$G$3:$G$1063,"Not Found!")</f>
        <v>BC</v>
      </c>
      <c r="G2386" s="273" t="s">
        <v>1836</v>
      </c>
      <c r="H2386" s="273">
        <v>16</v>
      </c>
      <c r="I2386" s="273">
        <v>32</v>
      </c>
      <c r="R2386" s="283">
        <v>-0.9</v>
      </c>
      <c r="S2386" s="268">
        <v>1.3</v>
      </c>
    </row>
    <row r="2387" spans="1:23" ht="18" customHeight="1" x14ac:dyDescent="0.35">
      <c r="A2387" s="274">
        <f>MATCH(B2387,STUDIES!$A$3:$A$502,0)</f>
        <v>101</v>
      </c>
      <c r="B2387" s="86" t="s">
        <v>1926</v>
      </c>
      <c r="D2387" s="281" t="s">
        <v>1934</v>
      </c>
      <c r="E2387" s="272" t="s">
        <v>153</v>
      </c>
      <c r="F2387" s="155" t="str">
        <f>_xlfn.XLOOKUP(B2387,STUDIES!$A$3:$A$1063,STUDIES!$G$3:$G$1063,"Not Found!")</f>
        <v>BC</v>
      </c>
      <c r="G2387" s="273" t="s">
        <v>147</v>
      </c>
      <c r="H2387" s="273">
        <v>16</v>
      </c>
      <c r="I2387" s="273">
        <v>30</v>
      </c>
      <c r="R2387" s="283">
        <v>-8.5</v>
      </c>
      <c r="S2387" s="268">
        <v>1.4</v>
      </c>
    </row>
    <row r="2388" spans="1:23" ht="18" customHeight="1" x14ac:dyDescent="0.35">
      <c r="A2388" s="274">
        <f>MATCH(B2388,STUDIES!$A$3:$A$502,0)</f>
        <v>101</v>
      </c>
      <c r="B2388" s="86" t="s">
        <v>1926</v>
      </c>
      <c r="D2388" s="281" t="s">
        <v>148</v>
      </c>
      <c r="E2388" s="272" t="s">
        <v>694</v>
      </c>
      <c r="F2388" s="155" t="str">
        <f>_xlfn.XLOOKUP(B2388,STUDIES!$A$3:$A$1063,STUDIES!$G$3:$G$1063,"Not Found!")</f>
        <v>BC</v>
      </c>
      <c r="G2388" s="273" t="s">
        <v>1836</v>
      </c>
      <c r="H2388" s="273">
        <v>16</v>
      </c>
      <c r="I2388" s="273">
        <v>26</v>
      </c>
      <c r="R2388" s="283">
        <v>0.4</v>
      </c>
      <c r="S2388" s="268">
        <v>0.8</v>
      </c>
    </row>
    <row r="2389" spans="1:23" ht="18" customHeight="1" x14ac:dyDescent="0.35">
      <c r="A2389" s="274">
        <f>MATCH(B2389,STUDIES!$A$3:$A$502,0)</f>
        <v>101</v>
      </c>
      <c r="B2389" s="86" t="s">
        <v>1926</v>
      </c>
      <c r="D2389" s="281" t="s">
        <v>1934</v>
      </c>
      <c r="E2389" s="272" t="s">
        <v>694</v>
      </c>
      <c r="F2389" s="155" t="str">
        <f>_xlfn.XLOOKUP(B2389,STUDIES!$A$3:$A$1063,STUDIES!$G$3:$G$1063,"Not Found!")</f>
        <v>BC</v>
      </c>
      <c r="G2389" s="273" t="s">
        <v>147</v>
      </c>
      <c r="H2389" s="273">
        <v>16</v>
      </c>
      <c r="I2389" s="273">
        <v>25</v>
      </c>
      <c r="R2389" s="283">
        <v>-2.8</v>
      </c>
      <c r="S2389" s="268">
        <v>0.8</v>
      </c>
    </row>
    <row r="2390" spans="1:23" ht="18" customHeight="1" x14ac:dyDescent="0.35">
      <c r="A2390" s="274">
        <f>MATCH(B2390,STUDIES!$A$3:$A$502,0)</f>
        <v>101</v>
      </c>
      <c r="B2390" s="86" t="s">
        <v>1926</v>
      </c>
      <c r="D2390" s="281" t="s">
        <v>148</v>
      </c>
      <c r="E2390" s="272" t="s">
        <v>1163</v>
      </c>
      <c r="F2390" s="155" t="str">
        <f>_xlfn.XLOOKUP(B2390,STUDIES!$A$3:$A$1063,STUDIES!$G$3:$G$1063,"Not Found!")</f>
        <v>BC</v>
      </c>
      <c r="G2390" s="273" t="s">
        <v>1836</v>
      </c>
      <c r="H2390" s="273">
        <v>16</v>
      </c>
      <c r="I2390" s="273">
        <v>32</v>
      </c>
      <c r="J2390" s="274">
        <v>1</v>
      </c>
    </row>
    <row r="2391" spans="1:23" ht="18" customHeight="1" x14ac:dyDescent="0.35">
      <c r="A2391" s="274">
        <f>MATCH(B2391,STUDIES!$A$3:$A$502,0)</f>
        <v>101</v>
      </c>
      <c r="B2391" s="86" t="s">
        <v>1926</v>
      </c>
      <c r="D2391" s="281" t="s">
        <v>1934</v>
      </c>
      <c r="E2391" s="272" t="s">
        <v>1163</v>
      </c>
      <c r="F2391" s="155" t="str">
        <f>_xlfn.XLOOKUP(B2391,STUDIES!$A$3:$A$1063,STUDIES!$G$3:$G$1063,"Not Found!")</f>
        <v>BC</v>
      </c>
      <c r="G2391" s="273" t="s">
        <v>147</v>
      </c>
      <c r="H2391" s="273">
        <v>16</v>
      </c>
      <c r="I2391" s="273">
        <v>30</v>
      </c>
      <c r="J2391" s="274">
        <v>1</v>
      </c>
    </row>
    <row r="2392" spans="1:23" ht="18" customHeight="1" x14ac:dyDescent="0.35">
      <c r="A2392" s="274">
        <f>MATCH(B2392,STUDIES!$A$3:$A$502,0)</f>
        <v>101</v>
      </c>
      <c r="B2392" s="86" t="s">
        <v>1926</v>
      </c>
      <c r="D2392" s="281" t="s">
        <v>148</v>
      </c>
      <c r="E2392" s="272" t="s">
        <v>1167</v>
      </c>
      <c r="F2392" s="155" t="str">
        <f>_xlfn.XLOOKUP(B2392,STUDIES!$A$3:$A$1063,STUDIES!$G$3:$G$1063,"Not Found!")</f>
        <v>BC</v>
      </c>
      <c r="G2392" s="273" t="s">
        <v>1836</v>
      </c>
      <c r="H2392" s="273">
        <v>16</v>
      </c>
      <c r="I2392" s="273">
        <v>32</v>
      </c>
      <c r="J2392" s="274">
        <v>0</v>
      </c>
    </row>
    <row r="2393" spans="1:23" ht="18" customHeight="1" x14ac:dyDescent="0.35">
      <c r="A2393" s="274">
        <f>MATCH(B2393,STUDIES!$A$3:$A$502,0)</f>
        <v>101</v>
      </c>
      <c r="B2393" s="86" t="s">
        <v>1926</v>
      </c>
      <c r="D2393" s="281" t="s">
        <v>1934</v>
      </c>
      <c r="E2393" s="272" t="s">
        <v>1167</v>
      </c>
      <c r="F2393" s="155" t="str">
        <f>_xlfn.XLOOKUP(B2393,STUDIES!$A$3:$A$1063,STUDIES!$G$3:$G$1063,"Not Found!")</f>
        <v>BC</v>
      </c>
      <c r="G2393" s="273" t="s">
        <v>147</v>
      </c>
      <c r="H2393" s="273">
        <v>16</v>
      </c>
      <c r="I2393" s="273">
        <v>30</v>
      </c>
      <c r="J2393" s="274">
        <v>0</v>
      </c>
    </row>
    <row r="2394" spans="1:23" ht="18" customHeight="1" x14ac:dyDescent="0.35">
      <c r="A2394" s="274">
        <f>MATCH(B2394,STUDIES!$A$3:$A$502,0)</f>
        <v>102</v>
      </c>
      <c r="B2394" s="272" t="s">
        <v>2065</v>
      </c>
      <c r="D2394" s="281" t="s">
        <v>2060</v>
      </c>
      <c r="E2394" s="272" t="s">
        <v>1268</v>
      </c>
      <c r="F2394" s="155" t="str">
        <f>_xlfn.XLOOKUP(B2394,STUDIES!$A$3:$A$1063,STUDIES!$G$3:$G$1063,"Not Found!")</f>
        <v>A</v>
      </c>
      <c r="G2394" s="273" t="s">
        <v>147</v>
      </c>
      <c r="H2394" s="273">
        <v>16</v>
      </c>
      <c r="I2394" s="273">
        <v>219</v>
      </c>
      <c r="J2394" s="274">
        <f>0.29*219</f>
        <v>63.51</v>
      </c>
    </row>
    <row r="2395" spans="1:23" ht="18" customHeight="1" x14ac:dyDescent="0.35">
      <c r="A2395" s="274">
        <f>MATCH(B2395,STUDIES!$A$3:$A$502,0)</f>
        <v>102</v>
      </c>
      <c r="B2395" s="272" t="s">
        <v>2065</v>
      </c>
      <c r="D2395" s="281" t="s">
        <v>148</v>
      </c>
      <c r="E2395" s="272" t="s">
        <v>1268</v>
      </c>
      <c r="F2395" s="155" t="str">
        <f>_xlfn.XLOOKUP(B2395,STUDIES!$A$3:$A$1063,STUDIES!$G$3:$G$1063,"Not Found!")</f>
        <v>A</v>
      </c>
      <c r="G2395" s="273" t="s">
        <v>147</v>
      </c>
      <c r="H2395" s="273">
        <v>16</v>
      </c>
      <c r="I2395" s="273">
        <v>111</v>
      </c>
      <c r="J2395" s="274">
        <f>0.059*111</f>
        <v>6.5489999999999995</v>
      </c>
    </row>
    <row r="2396" spans="1:23" ht="18" customHeight="1" x14ac:dyDescent="0.35">
      <c r="A2396" s="274">
        <f>MATCH(B2396,STUDIES!$A$3:$A$502,0)</f>
        <v>102</v>
      </c>
      <c r="B2396" s="272" t="s">
        <v>2065</v>
      </c>
      <c r="D2396" s="281" t="s">
        <v>2060</v>
      </c>
      <c r="E2396" s="272" t="s">
        <v>1243</v>
      </c>
      <c r="F2396" s="155" t="str">
        <f>_xlfn.XLOOKUP(B2396,STUDIES!$A$3:$A$1063,STUDIES!$G$3:$G$1063,"Not Found!")</f>
        <v>A</v>
      </c>
      <c r="G2396" s="273" t="s">
        <v>147</v>
      </c>
      <c r="H2396" s="273">
        <v>16</v>
      </c>
      <c r="I2396" s="273">
        <v>219</v>
      </c>
      <c r="J2396" s="274">
        <f>0.586*219</f>
        <v>128.334</v>
      </c>
    </row>
    <row r="2397" spans="1:23" ht="18" customHeight="1" x14ac:dyDescent="0.35">
      <c r="A2397" s="274">
        <f>MATCH(B2397,STUDIES!$A$3:$A$502,0)</f>
        <v>102</v>
      </c>
      <c r="B2397" s="272" t="s">
        <v>2065</v>
      </c>
      <c r="D2397" s="281" t="s">
        <v>148</v>
      </c>
      <c r="E2397" s="272" t="s">
        <v>1243</v>
      </c>
      <c r="F2397" s="155" t="str">
        <f>_xlfn.XLOOKUP(B2397,STUDIES!$A$3:$A$1063,STUDIES!$G$3:$G$1063,"Not Found!")</f>
        <v>A</v>
      </c>
      <c r="G2397" s="273" t="s">
        <v>147</v>
      </c>
      <c r="H2397" s="273">
        <v>16</v>
      </c>
      <c r="I2397" s="273">
        <v>111</v>
      </c>
      <c r="J2397" s="274">
        <f>0.226*111</f>
        <v>25.086000000000002</v>
      </c>
    </row>
    <row r="2398" spans="1:23" ht="18" customHeight="1" x14ac:dyDescent="0.35">
      <c r="A2398" s="274">
        <f>MATCH(B2398,STUDIES!$A$3:$A$502,0)</f>
        <v>102</v>
      </c>
      <c r="B2398" s="272" t="s">
        <v>2065</v>
      </c>
      <c r="D2398" s="281" t="s">
        <v>2060</v>
      </c>
      <c r="E2398" s="272" t="s">
        <v>695</v>
      </c>
      <c r="F2398" s="155" t="str">
        <f>_xlfn.XLOOKUP(B2398,STUDIES!$A$3:$A$1063,STUDIES!$G$3:$G$1063,"Not Found!")</f>
        <v>A</v>
      </c>
      <c r="G2398" s="273" t="s">
        <v>147</v>
      </c>
      <c r="H2398" s="273">
        <v>16</v>
      </c>
      <c r="I2398" s="273">
        <v>219</v>
      </c>
      <c r="R2398" s="283">
        <v>-2.95</v>
      </c>
      <c r="U2398" s="268">
        <v>-3.28</v>
      </c>
      <c r="V2398" s="268">
        <v>-2.62</v>
      </c>
      <c r="W2398" s="268">
        <v>0.95</v>
      </c>
    </row>
    <row r="2399" spans="1:23" ht="18" customHeight="1" x14ac:dyDescent="0.35">
      <c r="A2399" s="274">
        <f>MATCH(B2399,STUDIES!$A$3:$A$502,0)</f>
        <v>102</v>
      </c>
      <c r="B2399" s="272" t="s">
        <v>2065</v>
      </c>
      <c r="D2399" s="281" t="s">
        <v>148</v>
      </c>
      <c r="E2399" s="272" t="s">
        <v>695</v>
      </c>
      <c r="F2399" s="155" t="str">
        <f>_xlfn.XLOOKUP(B2399,STUDIES!$A$3:$A$1063,STUDIES!$G$3:$G$1063,"Not Found!")</f>
        <v>A</v>
      </c>
      <c r="G2399" s="273" t="s">
        <v>147</v>
      </c>
      <c r="H2399" s="273">
        <v>16</v>
      </c>
      <c r="I2399" s="273">
        <v>111</v>
      </c>
      <c r="R2399" s="283">
        <v>-0.99</v>
      </c>
      <c r="U2399" s="268">
        <v>-1.46</v>
      </c>
      <c r="V2399" s="268">
        <v>-0.53</v>
      </c>
      <c r="W2399" s="268">
        <v>0.95</v>
      </c>
    </row>
    <row r="2400" spans="1:23" ht="18" customHeight="1" x14ac:dyDescent="0.35">
      <c r="A2400" s="274">
        <f>MATCH(B2400,STUDIES!$A$3:$A$502,0)</f>
        <v>102</v>
      </c>
      <c r="B2400" s="272" t="s">
        <v>2065</v>
      </c>
      <c r="D2400" s="281" t="s">
        <v>2060</v>
      </c>
      <c r="E2400" s="272" t="s">
        <v>1244</v>
      </c>
      <c r="F2400" s="155" t="str">
        <f>_xlfn.XLOOKUP(B2400,STUDIES!$A$3:$A$1063,STUDIES!$G$3:$G$1063,"Not Found!")</f>
        <v>A</v>
      </c>
      <c r="G2400" s="273" t="s">
        <v>147</v>
      </c>
      <c r="H2400" s="273">
        <v>16</v>
      </c>
      <c r="I2400" s="273">
        <v>219</v>
      </c>
      <c r="J2400" s="274">
        <f>0.334*219</f>
        <v>73.146000000000001</v>
      </c>
    </row>
    <row r="2401" spans="1:23" ht="18" customHeight="1" x14ac:dyDescent="0.35">
      <c r="A2401" s="274">
        <f>MATCH(B2401,STUDIES!$A$3:$A$502,0)</f>
        <v>102</v>
      </c>
      <c r="B2401" s="272" t="s">
        <v>2065</v>
      </c>
      <c r="D2401" s="281" t="s">
        <v>148</v>
      </c>
      <c r="E2401" s="272" t="s">
        <v>1244</v>
      </c>
      <c r="F2401" s="155" t="str">
        <f>_xlfn.XLOOKUP(B2401,STUDIES!$A$3:$A$1063,STUDIES!$G$3:$G$1063,"Not Found!")</f>
        <v>A</v>
      </c>
      <c r="G2401" s="273" t="s">
        <v>147</v>
      </c>
      <c r="H2401" s="273">
        <v>16</v>
      </c>
      <c r="I2401" s="273">
        <v>111</v>
      </c>
      <c r="J2401" s="274">
        <f>0.064*111</f>
        <v>7.1040000000000001</v>
      </c>
    </row>
    <row r="2402" spans="1:23" ht="18" customHeight="1" x14ac:dyDescent="0.35">
      <c r="A2402" s="274">
        <f>MATCH(B2402,STUDIES!$A$3:$A$502,0)</f>
        <v>102</v>
      </c>
      <c r="B2402" s="272" t="s">
        <v>2065</v>
      </c>
      <c r="D2402" s="281" t="s">
        <v>2060</v>
      </c>
      <c r="E2402" s="272" t="s">
        <v>1163</v>
      </c>
      <c r="F2402" s="155" t="str">
        <f>_xlfn.XLOOKUP(B2402,STUDIES!$A$3:$A$1063,STUDIES!$G$3:$G$1063,"Not Found!")</f>
        <v>A</v>
      </c>
      <c r="G2402" s="273" t="s">
        <v>147</v>
      </c>
      <c r="H2402" s="273">
        <v>16</v>
      </c>
      <c r="I2402" s="273">
        <v>219</v>
      </c>
      <c r="J2402" s="274">
        <v>1</v>
      </c>
    </row>
    <row r="2403" spans="1:23" ht="18" customHeight="1" x14ac:dyDescent="0.35">
      <c r="A2403" s="274">
        <f>MATCH(B2403,STUDIES!$A$3:$A$502,0)</f>
        <v>102</v>
      </c>
      <c r="B2403" s="272" t="s">
        <v>2065</v>
      </c>
      <c r="D2403" s="281" t="s">
        <v>148</v>
      </c>
      <c r="E2403" s="272" t="s">
        <v>1163</v>
      </c>
      <c r="F2403" s="155" t="str">
        <f>_xlfn.XLOOKUP(B2403,STUDIES!$A$3:$A$1063,STUDIES!$G$3:$G$1063,"Not Found!")</f>
        <v>A</v>
      </c>
      <c r="G2403" s="273" t="s">
        <v>147</v>
      </c>
      <c r="H2403" s="273">
        <v>16</v>
      </c>
      <c r="I2403" s="273">
        <v>111</v>
      </c>
      <c r="J2403" s="274">
        <v>3</v>
      </c>
    </row>
    <row r="2404" spans="1:23" ht="18" customHeight="1" x14ac:dyDescent="0.35">
      <c r="A2404" s="274">
        <f>MATCH(B2404,STUDIES!$A$3:$A$502,0)</f>
        <v>102</v>
      </c>
      <c r="B2404" s="272" t="s">
        <v>2065</v>
      </c>
      <c r="D2404" s="281" t="s">
        <v>2060</v>
      </c>
      <c r="E2404" s="272" t="s">
        <v>1167</v>
      </c>
      <c r="F2404" s="155" t="str">
        <f>_xlfn.XLOOKUP(B2404,STUDIES!$A$3:$A$1063,STUDIES!$G$3:$G$1063,"Not Found!")</f>
        <v>A</v>
      </c>
      <c r="G2404" s="273" t="s">
        <v>147</v>
      </c>
      <c r="H2404" s="273">
        <v>16</v>
      </c>
      <c r="I2404" s="273">
        <v>219</v>
      </c>
      <c r="J2404" s="274">
        <v>1</v>
      </c>
    </row>
    <row r="2405" spans="1:23" ht="18" customHeight="1" x14ac:dyDescent="0.35">
      <c r="A2405" s="274">
        <f>MATCH(B2405,STUDIES!$A$3:$A$502,0)</f>
        <v>102</v>
      </c>
      <c r="B2405" s="272" t="s">
        <v>2065</v>
      </c>
      <c r="D2405" s="281" t="s">
        <v>148</v>
      </c>
      <c r="E2405" s="272" t="s">
        <v>1167</v>
      </c>
      <c r="F2405" s="155" t="str">
        <f>_xlfn.XLOOKUP(B2405,STUDIES!$A$3:$A$1063,STUDIES!$G$3:$G$1063,"Not Found!")</f>
        <v>A</v>
      </c>
      <c r="G2405" s="273" t="s">
        <v>147</v>
      </c>
      <c r="H2405" s="273">
        <v>16</v>
      </c>
      <c r="I2405" s="273">
        <v>111</v>
      </c>
      <c r="J2405" s="274">
        <v>1</v>
      </c>
    </row>
    <row r="2406" spans="1:23" ht="18" customHeight="1" x14ac:dyDescent="0.35">
      <c r="A2406" s="274">
        <f>MATCH(B2406,STUDIES!$A$3:$A$502,0)</f>
        <v>103</v>
      </c>
      <c r="B2406" s="86" t="s">
        <v>2072</v>
      </c>
      <c r="D2406" s="232" t="s">
        <v>2077</v>
      </c>
      <c r="E2406" s="272" t="s">
        <v>151</v>
      </c>
      <c r="F2406" s="155" t="str">
        <f>_xlfn.XLOOKUP(B2406,STUDIES!$A$3:$A$1063,STUDIES!$G$3:$G$1063,"Not Found!")</f>
        <v>A</v>
      </c>
      <c r="G2406" s="273" t="s">
        <v>147</v>
      </c>
      <c r="H2406" s="273">
        <v>16</v>
      </c>
      <c r="I2406" s="273">
        <v>61</v>
      </c>
      <c r="R2406" s="283">
        <v>-9.99</v>
      </c>
      <c r="U2406" s="268">
        <v>-12.85</v>
      </c>
      <c r="V2406" s="268">
        <v>-7.13</v>
      </c>
      <c r="W2406" s="268">
        <v>0.95</v>
      </c>
    </row>
    <row r="2407" spans="1:23" ht="18" customHeight="1" x14ac:dyDescent="0.35">
      <c r="A2407" s="274">
        <f>MATCH(B2407,STUDIES!$A$3:$A$502,0)</f>
        <v>103</v>
      </c>
      <c r="B2407" s="86" t="s">
        <v>2072</v>
      </c>
      <c r="D2407" s="232" t="s">
        <v>2078</v>
      </c>
      <c r="E2407" s="272" t="s">
        <v>151</v>
      </c>
      <c r="F2407" s="155" t="str">
        <f>_xlfn.XLOOKUP(B2407,STUDIES!$A$3:$A$1063,STUDIES!$G$3:$G$1063,"Not Found!")</f>
        <v>A</v>
      </c>
      <c r="G2407" s="273" t="s">
        <v>147</v>
      </c>
      <c r="H2407" s="273">
        <v>16</v>
      </c>
      <c r="I2407" s="273">
        <v>45</v>
      </c>
      <c r="R2407" s="283">
        <v>-8.83</v>
      </c>
      <c r="U2407" s="268">
        <v>-12.63</v>
      </c>
      <c r="V2407" s="268">
        <v>-5.04</v>
      </c>
      <c r="W2407" s="268">
        <v>0.95</v>
      </c>
    </row>
    <row r="2408" spans="1:23" ht="18" customHeight="1" x14ac:dyDescent="0.35">
      <c r="A2408" s="274">
        <f>MATCH(B2408,STUDIES!$A$3:$A$502,0)</f>
        <v>103</v>
      </c>
      <c r="B2408" s="86" t="s">
        <v>2072</v>
      </c>
      <c r="D2408" s="232" t="s">
        <v>2079</v>
      </c>
      <c r="E2408" s="272" t="s">
        <v>151</v>
      </c>
      <c r="F2408" s="155" t="str">
        <f>_xlfn.XLOOKUP(B2408,STUDIES!$A$3:$A$1063,STUDIES!$G$3:$G$1063,"Not Found!")</f>
        <v>A</v>
      </c>
      <c r="G2408" s="273" t="s">
        <v>147</v>
      </c>
      <c r="H2408" s="273">
        <v>16</v>
      </c>
      <c r="I2408" s="273">
        <v>49</v>
      </c>
      <c r="R2408" s="283">
        <v>-8.8699999999999992</v>
      </c>
      <c r="U2408" s="268">
        <v>-12.47</v>
      </c>
      <c r="V2408" s="268">
        <v>-5.28</v>
      </c>
      <c r="W2408" s="268">
        <v>0.95</v>
      </c>
    </row>
    <row r="2409" spans="1:23" ht="18" customHeight="1" x14ac:dyDescent="0.35">
      <c r="A2409" s="274">
        <f>MATCH(B2409,STUDIES!$A$3:$A$502,0)</f>
        <v>103</v>
      </c>
      <c r="B2409" s="86" t="s">
        <v>2072</v>
      </c>
      <c r="D2409" s="232" t="s">
        <v>148</v>
      </c>
      <c r="E2409" s="272" t="s">
        <v>151</v>
      </c>
      <c r="F2409" s="155" t="str">
        <f>_xlfn.XLOOKUP(B2409,STUDIES!$A$3:$A$1063,STUDIES!$G$3:$G$1063,"Not Found!")</f>
        <v>A</v>
      </c>
      <c r="G2409" s="273" t="s">
        <v>147</v>
      </c>
      <c r="H2409" s="273">
        <v>16</v>
      </c>
      <c r="I2409" s="273">
        <v>61</v>
      </c>
      <c r="R2409" s="283">
        <v>-9.11</v>
      </c>
      <c r="U2409" s="268">
        <v>-11.88</v>
      </c>
      <c r="V2409" s="268">
        <v>-6.35</v>
      </c>
      <c r="W2409" s="268">
        <v>0.95</v>
      </c>
    </row>
    <row r="2410" spans="1:23" ht="18" customHeight="1" x14ac:dyDescent="0.35">
      <c r="A2410" s="274">
        <f>MATCH(B2410,STUDIES!$A$3:$A$502,0)</f>
        <v>103</v>
      </c>
      <c r="B2410" s="86" t="s">
        <v>2072</v>
      </c>
      <c r="D2410" s="232" t="s">
        <v>2077</v>
      </c>
      <c r="E2410" s="272" t="s">
        <v>1163</v>
      </c>
      <c r="F2410" s="155" t="str">
        <f>_xlfn.XLOOKUP(B2410,STUDIES!$A$3:$A$1063,STUDIES!$G$3:$G$1063,"Not Found!")</f>
        <v>A</v>
      </c>
      <c r="G2410" s="273" t="s">
        <v>147</v>
      </c>
      <c r="H2410" s="273">
        <v>16</v>
      </c>
      <c r="I2410" s="273">
        <v>61</v>
      </c>
      <c r="J2410" s="274">
        <v>0</v>
      </c>
    </row>
    <row r="2411" spans="1:23" ht="18" customHeight="1" x14ac:dyDescent="0.35">
      <c r="A2411" s="274">
        <f>MATCH(B2411,STUDIES!$A$3:$A$502,0)</f>
        <v>103</v>
      </c>
      <c r="B2411" s="86" t="s">
        <v>2072</v>
      </c>
      <c r="D2411" s="232" t="s">
        <v>2078</v>
      </c>
      <c r="E2411" s="272" t="s">
        <v>1163</v>
      </c>
      <c r="F2411" s="155" t="str">
        <f>_xlfn.XLOOKUP(B2411,STUDIES!$A$3:$A$1063,STUDIES!$G$3:$G$1063,"Not Found!")</f>
        <v>A</v>
      </c>
      <c r="G2411" s="273" t="s">
        <v>147</v>
      </c>
      <c r="H2411" s="273">
        <v>16</v>
      </c>
      <c r="I2411" s="273">
        <v>45</v>
      </c>
      <c r="J2411" s="274">
        <v>2</v>
      </c>
    </row>
    <row r="2412" spans="1:23" ht="18" customHeight="1" x14ac:dyDescent="0.35">
      <c r="A2412" s="274">
        <f>MATCH(B2412,STUDIES!$A$3:$A$502,0)</f>
        <v>103</v>
      </c>
      <c r="B2412" s="86" t="s">
        <v>2072</v>
      </c>
      <c r="D2412" s="232" t="s">
        <v>2079</v>
      </c>
      <c r="E2412" s="272" t="s">
        <v>1163</v>
      </c>
      <c r="F2412" s="155" t="str">
        <f>_xlfn.XLOOKUP(B2412,STUDIES!$A$3:$A$1063,STUDIES!$G$3:$G$1063,"Not Found!")</f>
        <v>A</v>
      </c>
      <c r="G2412" s="273" t="s">
        <v>147</v>
      </c>
      <c r="H2412" s="273">
        <v>16</v>
      </c>
      <c r="I2412" s="273">
        <v>49</v>
      </c>
      <c r="J2412" s="274">
        <v>1</v>
      </c>
    </row>
    <row r="2413" spans="1:23" ht="18" customHeight="1" x14ac:dyDescent="0.35">
      <c r="A2413" s="274">
        <f>MATCH(B2413,STUDIES!$A$3:$A$502,0)</f>
        <v>103</v>
      </c>
      <c r="B2413" s="86" t="s">
        <v>2072</v>
      </c>
      <c r="D2413" s="232" t="s">
        <v>148</v>
      </c>
      <c r="E2413" s="272" t="s">
        <v>1163</v>
      </c>
      <c r="F2413" s="155" t="str">
        <f>_xlfn.XLOOKUP(B2413,STUDIES!$A$3:$A$1063,STUDIES!$G$3:$G$1063,"Not Found!")</f>
        <v>A</v>
      </c>
      <c r="G2413" s="273" t="s">
        <v>147</v>
      </c>
      <c r="H2413" s="273">
        <v>16</v>
      </c>
      <c r="I2413" s="273">
        <v>61</v>
      </c>
      <c r="J2413" s="274">
        <v>0</v>
      </c>
    </row>
    <row r="2414" spans="1:23" ht="18" customHeight="1" x14ac:dyDescent="0.35">
      <c r="A2414" s="274">
        <f>MATCH(B2414,STUDIES!$A$3:$A$502,0)</f>
        <v>103</v>
      </c>
      <c r="B2414" s="86" t="s">
        <v>2072</v>
      </c>
      <c r="D2414" s="232" t="s">
        <v>2077</v>
      </c>
      <c r="E2414" s="272" t="s">
        <v>1167</v>
      </c>
      <c r="F2414" s="155" t="str">
        <f>_xlfn.XLOOKUP(B2414,STUDIES!$A$3:$A$1063,STUDIES!$G$3:$G$1063,"Not Found!")</f>
        <v>A</v>
      </c>
      <c r="G2414" s="273" t="s">
        <v>147</v>
      </c>
      <c r="H2414" s="273">
        <v>16</v>
      </c>
      <c r="I2414" s="273">
        <v>61</v>
      </c>
      <c r="J2414" s="274">
        <v>3</v>
      </c>
    </row>
    <row r="2415" spans="1:23" ht="18" customHeight="1" x14ac:dyDescent="0.35">
      <c r="A2415" s="274">
        <f>MATCH(B2415,STUDIES!$A$3:$A$502,0)</f>
        <v>103</v>
      </c>
      <c r="B2415" s="86" t="s">
        <v>2072</v>
      </c>
      <c r="D2415" s="232" t="s">
        <v>2078</v>
      </c>
      <c r="E2415" s="272" t="s">
        <v>1167</v>
      </c>
      <c r="F2415" s="155" t="str">
        <f>_xlfn.XLOOKUP(B2415,STUDIES!$A$3:$A$1063,STUDIES!$G$3:$G$1063,"Not Found!")</f>
        <v>A</v>
      </c>
      <c r="G2415" s="273" t="s">
        <v>147</v>
      </c>
      <c r="H2415" s="273">
        <v>16</v>
      </c>
      <c r="I2415" s="273">
        <v>45</v>
      </c>
      <c r="J2415" s="274">
        <v>5</v>
      </c>
    </row>
    <row r="2416" spans="1:23" ht="18" customHeight="1" x14ac:dyDescent="0.35">
      <c r="A2416" s="274">
        <f>MATCH(B2416,STUDIES!$A$3:$A$502,0)</f>
        <v>103</v>
      </c>
      <c r="B2416" s="86" t="s">
        <v>2072</v>
      </c>
      <c r="D2416" s="232" t="s">
        <v>2079</v>
      </c>
      <c r="E2416" s="272" t="s">
        <v>1167</v>
      </c>
      <c r="F2416" s="155" t="str">
        <f>_xlfn.XLOOKUP(B2416,STUDIES!$A$3:$A$1063,STUDIES!$G$3:$G$1063,"Not Found!")</f>
        <v>A</v>
      </c>
      <c r="G2416" s="273" t="s">
        <v>147</v>
      </c>
      <c r="H2416" s="273">
        <v>16</v>
      </c>
      <c r="I2416" s="273">
        <v>49</v>
      </c>
      <c r="J2416" s="274">
        <v>6</v>
      </c>
    </row>
    <row r="2417" spans="1:19" ht="18" customHeight="1" x14ac:dyDescent="0.35">
      <c r="A2417" s="274">
        <f>MATCH(B2417,STUDIES!$A$3:$A$502,0)</f>
        <v>103</v>
      </c>
      <c r="B2417" s="86" t="s">
        <v>2072</v>
      </c>
      <c r="D2417" s="232" t="s">
        <v>148</v>
      </c>
      <c r="E2417" s="272" t="s">
        <v>1167</v>
      </c>
      <c r="F2417" s="155" t="str">
        <f>_xlfn.XLOOKUP(B2417,STUDIES!$A$3:$A$1063,STUDIES!$G$3:$G$1063,"Not Found!")</f>
        <v>A</v>
      </c>
      <c r="G2417" s="273" t="s">
        <v>147</v>
      </c>
      <c r="H2417" s="273">
        <v>16</v>
      </c>
      <c r="I2417" s="273">
        <v>61</v>
      </c>
      <c r="J2417" s="274">
        <v>1</v>
      </c>
    </row>
    <row r="2418" spans="1:19" ht="18" customHeight="1" x14ac:dyDescent="0.35">
      <c r="A2418" s="274">
        <f>MATCH(B2418,STUDIES!$A$3:$A$502,0)</f>
        <v>83</v>
      </c>
      <c r="B2418" s="86" t="s">
        <v>1614</v>
      </c>
      <c r="C2418" s="465">
        <v>1</v>
      </c>
      <c r="D2418" s="232" t="s">
        <v>148</v>
      </c>
      <c r="E2418" s="272" t="s">
        <v>1268</v>
      </c>
      <c r="F2418" s="155" t="s">
        <v>1642</v>
      </c>
      <c r="G2418" s="273" t="s">
        <v>147</v>
      </c>
      <c r="H2418" s="273">
        <v>16</v>
      </c>
      <c r="I2418" s="273">
        <v>14</v>
      </c>
      <c r="J2418" s="274">
        <f>0.286*I2418</f>
        <v>4.0039999999999996</v>
      </c>
    </row>
    <row r="2419" spans="1:19" ht="18" customHeight="1" x14ac:dyDescent="0.35">
      <c r="A2419" s="274">
        <f>MATCH(B2419,STUDIES!$A$3:$A$502,0)</f>
        <v>83</v>
      </c>
      <c r="B2419" s="86" t="s">
        <v>1614</v>
      </c>
      <c r="C2419" s="465">
        <v>1</v>
      </c>
      <c r="D2419" s="230" t="s">
        <v>1073</v>
      </c>
      <c r="E2419" s="272" t="s">
        <v>1268</v>
      </c>
      <c r="F2419" s="155" t="s">
        <v>1642</v>
      </c>
      <c r="G2419" s="273" t="s">
        <v>147</v>
      </c>
      <c r="H2419" s="273">
        <v>16</v>
      </c>
      <c r="I2419" s="273">
        <v>32</v>
      </c>
      <c r="J2419" s="274">
        <f>0.573*I2419</f>
        <v>18.335999999999999</v>
      </c>
    </row>
    <row r="2420" spans="1:19" ht="18" customHeight="1" x14ac:dyDescent="0.35">
      <c r="A2420" s="274">
        <f>MATCH(B2420,STUDIES!$A$3:$A$502,0)</f>
        <v>83</v>
      </c>
      <c r="B2420" s="86" t="s">
        <v>1614</v>
      </c>
      <c r="C2420" s="465">
        <v>1</v>
      </c>
      <c r="D2420" s="232" t="s">
        <v>148</v>
      </c>
      <c r="E2420" s="272" t="s">
        <v>1243</v>
      </c>
      <c r="F2420" s="155" t="s">
        <v>1642</v>
      </c>
      <c r="G2420" s="273" t="s">
        <v>147</v>
      </c>
      <c r="H2420" s="273">
        <v>16</v>
      </c>
      <c r="I2420" s="273">
        <v>14</v>
      </c>
      <c r="J2420" s="274">
        <f>0.571*I2420</f>
        <v>7.9939999999999998</v>
      </c>
    </row>
    <row r="2421" spans="1:19" ht="18" customHeight="1" x14ac:dyDescent="0.35">
      <c r="A2421" s="274">
        <f>MATCH(B2421,STUDIES!$A$3:$A$502,0)</f>
        <v>83</v>
      </c>
      <c r="B2421" s="86" t="s">
        <v>1614</v>
      </c>
      <c r="C2421" s="465">
        <v>1</v>
      </c>
      <c r="D2421" s="230" t="s">
        <v>1073</v>
      </c>
      <c r="E2421" s="272" t="s">
        <v>1243</v>
      </c>
      <c r="F2421" s="155" t="s">
        <v>1642</v>
      </c>
      <c r="G2421" s="273" t="s">
        <v>147</v>
      </c>
      <c r="H2421" s="273">
        <v>16</v>
      </c>
      <c r="I2421" s="273">
        <v>32</v>
      </c>
      <c r="J2421" s="274">
        <f>0.88*I2421</f>
        <v>28.16</v>
      </c>
    </row>
    <row r="2422" spans="1:19" ht="18" customHeight="1" x14ac:dyDescent="0.35">
      <c r="A2422" s="274">
        <f>MATCH(B2422,STUDIES!$A$3:$A$502,0)</f>
        <v>83</v>
      </c>
      <c r="B2422" s="86" t="s">
        <v>1614</v>
      </c>
      <c r="C2422" s="465">
        <v>1</v>
      </c>
      <c r="D2422" s="232" t="s">
        <v>148</v>
      </c>
      <c r="E2422" s="272" t="s">
        <v>1244</v>
      </c>
      <c r="F2422" s="155" t="s">
        <v>1642</v>
      </c>
      <c r="G2422" s="273" t="s">
        <v>147</v>
      </c>
      <c r="H2422" s="273">
        <v>16</v>
      </c>
      <c r="I2422" s="273">
        <v>14</v>
      </c>
      <c r="J2422" s="274">
        <f>0.286*I2422</f>
        <v>4.0039999999999996</v>
      </c>
    </row>
    <row r="2423" spans="1:19" ht="18" customHeight="1" x14ac:dyDescent="0.35">
      <c r="A2423" s="274">
        <f>MATCH(B2423,STUDIES!$A$3:$A$502,0)</f>
        <v>83</v>
      </c>
      <c r="B2423" s="86" t="s">
        <v>1614</v>
      </c>
      <c r="C2423" s="465">
        <v>1</v>
      </c>
      <c r="D2423" s="230" t="s">
        <v>1073</v>
      </c>
      <c r="E2423" s="272" t="s">
        <v>1244</v>
      </c>
      <c r="F2423" s="155" t="s">
        <v>1642</v>
      </c>
      <c r="G2423" s="273" t="s">
        <v>147</v>
      </c>
      <c r="H2423" s="273">
        <v>16</v>
      </c>
      <c r="I2423" s="273">
        <v>32</v>
      </c>
      <c r="J2423" s="274">
        <f>0.551*I2423</f>
        <v>17.632000000000001</v>
      </c>
    </row>
    <row r="2424" spans="1:19" ht="18" customHeight="1" x14ac:dyDescent="0.35">
      <c r="A2424" s="274">
        <f>MATCH(B2424,STUDIES!$A$3:$A$502,0)</f>
        <v>101</v>
      </c>
      <c r="B2424" s="272" t="s">
        <v>1926</v>
      </c>
      <c r="D2424" s="281" t="s">
        <v>1934</v>
      </c>
      <c r="E2424" s="272" t="s">
        <v>1579</v>
      </c>
      <c r="F2424" s="456" t="s">
        <v>14</v>
      </c>
      <c r="G2424" s="273" t="s">
        <v>147</v>
      </c>
      <c r="H2424" s="273">
        <v>16</v>
      </c>
      <c r="I2424" s="273">
        <v>2</v>
      </c>
      <c r="R2424" s="283">
        <v>-9.3000000000000007</v>
      </c>
      <c r="S2424" s="268">
        <v>3.5</v>
      </c>
    </row>
    <row r="2425" spans="1:19" ht="18" customHeight="1" x14ac:dyDescent="0.35">
      <c r="A2425" s="274">
        <f>MATCH(B2425,STUDIES!$A$3:$A$502,0)</f>
        <v>101</v>
      </c>
      <c r="B2425" s="272" t="s">
        <v>1926</v>
      </c>
      <c r="D2425" s="281" t="s">
        <v>148</v>
      </c>
      <c r="E2425" s="272" t="s">
        <v>1579</v>
      </c>
      <c r="F2425" s="456" t="s">
        <v>14</v>
      </c>
      <c r="G2425" s="273" t="s">
        <v>147</v>
      </c>
      <c r="H2425" s="273">
        <v>16</v>
      </c>
      <c r="I2425" s="273">
        <v>2</v>
      </c>
      <c r="R2425" s="283">
        <v>0.3</v>
      </c>
      <c r="S2425" s="268">
        <v>3.5</v>
      </c>
    </row>
    <row r="2426" spans="1:19" ht="18" customHeight="1" x14ac:dyDescent="0.35">
      <c r="A2426" s="274">
        <f>MATCH(B2426,STUDIES!$A$3:$A$502,0)</f>
        <v>104</v>
      </c>
      <c r="B2426" s="86" t="s">
        <v>2100</v>
      </c>
      <c r="D2426" s="232" t="s">
        <v>1056</v>
      </c>
      <c r="E2426" s="272" t="s">
        <v>1244</v>
      </c>
      <c r="F2426" s="155" t="str">
        <f>_xlfn.XLOOKUP(B2426,STUDIES!$A$3:$A$1063,STUDIES!$G$3:$G$1063,"Not Found!")</f>
        <v>A</v>
      </c>
      <c r="G2426" s="273" t="s">
        <v>147</v>
      </c>
      <c r="H2426" s="273">
        <v>16</v>
      </c>
      <c r="I2426" s="273">
        <v>462</v>
      </c>
      <c r="J2426" s="274">
        <f>0.225*I2426</f>
        <v>103.95</v>
      </c>
    </row>
    <row r="2427" spans="1:19" ht="18" customHeight="1" x14ac:dyDescent="0.35">
      <c r="A2427" s="274">
        <f>MATCH(B2427,STUDIES!$A$3:$A$502,0)</f>
        <v>104</v>
      </c>
      <c r="B2427" s="86" t="s">
        <v>2100</v>
      </c>
      <c r="D2427" s="232" t="s">
        <v>2101</v>
      </c>
      <c r="E2427" s="272" t="s">
        <v>1244</v>
      </c>
      <c r="F2427" s="155" t="str">
        <f>_xlfn.XLOOKUP(B2427,STUDIES!$A$3:$A$1063,STUDIES!$G$3:$G$1063,"Not Found!")</f>
        <v>A</v>
      </c>
      <c r="G2427" s="273" t="s">
        <v>147</v>
      </c>
      <c r="H2427" s="273">
        <v>16</v>
      </c>
      <c r="I2427" s="273">
        <v>458</v>
      </c>
      <c r="J2427" s="274">
        <f>0.408*I2427</f>
        <v>186.86399999999998</v>
      </c>
    </row>
    <row r="2428" spans="1:19" ht="18" customHeight="1" x14ac:dyDescent="0.35">
      <c r="A2428" s="274">
        <f>MATCH(B2428,STUDIES!$A$3:$A$502,0)</f>
        <v>104</v>
      </c>
      <c r="B2428" s="86" t="s">
        <v>2100</v>
      </c>
      <c r="D2428" s="232" t="s">
        <v>1056</v>
      </c>
      <c r="E2428" s="272" t="s">
        <v>1163</v>
      </c>
      <c r="F2428" s="155" t="str">
        <f>_xlfn.XLOOKUP(B2428,STUDIES!$A$3:$A$1063,STUDIES!$G$3:$G$1063,"Not Found!")</f>
        <v>A</v>
      </c>
      <c r="G2428" s="273" t="s">
        <v>147</v>
      </c>
      <c r="H2428" s="273">
        <v>16</v>
      </c>
      <c r="I2428" s="273">
        <v>461</v>
      </c>
      <c r="J2428" s="274">
        <v>4</v>
      </c>
    </row>
    <row r="2429" spans="1:19" ht="18" customHeight="1" x14ac:dyDescent="0.35">
      <c r="A2429" s="274">
        <f>MATCH(B2429,STUDIES!$A$3:$A$502,0)</f>
        <v>104</v>
      </c>
      <c r="B2429" s="86" t="s">
        <v>2100</v>
      </c>
      <c r="D2429" s="232" t="s">
        <v>2101</v>
      </c>
      <c r="E2429" s="272" t="s">
        <v>1163</v>
      </c>
      <c r="F2429" s="155" t="str">
        <f>_xlfn.XLOOKUP(B2429,STUDIES!$A$3:$A$1063,STUDIES!$G$3:$G$1063,"Not Found!")</f>
        <v>A</v>
      </c>
      <c r="G2429" s="273" t="s">
        <v>147</v>
      </c>
      <c r="H2429" s="273">
        <v>16</v>
      </c>
      <c r="I2429" s="273">
        <v>458</v>
      </c>
      <c r="J2429" s="274">
        <v>4</v>
      </c>
    </row>
    <row r="2430" spans="1:19" ht="18" customHeight="1" x14ac:dyDescent="0.35">
      <c r="A2430" s="274">
        <f>MATCH(B2430,STUDIES!$A$3:$A$502,0)</f>
        <v>104</v>
      </c>
      <c r="B2430" s="86" t="s">
        <v>2100</v>
      </c>
      <c r="D2430" s="232" t="s">
        <v>1056</v>
      </c>
      <c r="E2430" s="272" t="s">
        <v>1167</v>
      </c>
      <c r="F2430" s="155" t="str">
        <f>_xlfn.XLOOKUP(B2430,STUDIES!$A$3:$A$1063,STUDIES!$G$3:$G$1063,"Not Found!")</f>
        <v>A</v>
      </c>
      <c r="G2430" s="273" t="s">
        <v>147</v>
      </c>
      <c r="H2430" s="273">
        <v>16</v>
      </c>
      <c r="I2430" s="273">
        <v>461</v>
      </c>
      <c r="J2430" s="274">
        <v>6</v>
      </c>
    </row>
    <row r="2431" spans="1:19" ht="18" customHeight="1" x14ac:dyDescent="0.35">
      <c r="A2431" s="274">
        <f>MATCH(B2431,STUDIES!$A$3:$A$502,0)</f>
        <v>104</v>
      </c>
      <c r="B2431" s="86" t="s">
        <v>2100</v>
      </c>
      <c r="D2431" s="232" t="s">
        <v>2101</v>
      </c>
      <c r="E2431" s="272" t="s">
        <v>1167</v>
      </c>
      <c r="F2431" s="155" t="str">
        <f>_xlfn.XLOOKUP(B2431,STUDIES!$A$3:$A$1063,STUDIES!$G$3:$G$1063,"Not Found!")</f>
        <v>A</v>
      </c>
      <c r="G2431" s="273" t="s">
        <v>147</v>
      </c>
      <c r="H2431" s="273">
        <v>16</v>
      </c>
      <c r="I2431" s="273">
        <v>458</v>
      </c>
      <c r="J2431" s="274">
        <v>8</v>
      </c>
    </row>
    <row r="2432" spans="1:19" ht="18" customHeight="1" x14ac:dyDescent="0.35">
      <c r="A2432" s="274">
        <f>MATCH(B2432,STUDIES!$A$3:$A$502,0)</f>
        <v>104</v>
      </c>
      <c r="B2432" s="86" t="s">
        <v>2100</v>
      </c>
      <c r="D2432" s="232" t="s">
        <v>1056</v>
      </c>
      <c r="E2432" s="272" t="s">
        <v>1243</v>
      </c>
      <c r="F2432" s="155" t="str">
        <f>_xlfn.XLOOKUP(B2432,STUDIES!$A$3:$A$1063,STUDIES!$G$3:$G$1063,"Not Found!")</f>
        <v>A</v>
      </c>
      <c r="G2432" s="273" t="s">
        <v>147</v>
      </c>
      <c r="H2432" s="273">
        <v>16</v>
      </c>
      <c r="I2432" s="273">
        <v>462</v>
      </c>
      <c r="J2432" s="274">
        <f>0.383*I2432</f>
        <v>176.946</v>
      </c>
    </row>
    <row r="2433" spans="1:26" ht="18" customHeight="1" x14ac:dyDescent="0.35">
      <c r="A2433" s="274">
        <f>MATCH(B2433,STUDIES!$A$3:$A$502,0)</f>
        <v>104</v>
      </c>
      <c r="B2433" s="86" t="s">
        <v>2100</v>
      </c>
      <c r="D2433" s="232" t="s">
        <v>2101</v>
      </c>
      <c r="E2433" s="272" t="s">
        <v>1243</v>
      </c>
      <c r="F2433" s="155" t="str">
        <f>_xlfn.XLOOKUP(B2433,STUDIES!$A$3:$A$1063,STUDIES!$G$3:$G$1063,"Not Found!")</f>
        <v>A</v>
      </c>
      <c r="G2433" s="273" t="s">
        <v>147</v>
      </c>
      <c r="H2433" s="273">
        <v>16</v>
      </c>
      <c r="I2433" s="273">
        <v>458</v>
      </c>
      <c r="J2433" s="274">
        <f>0.576*I2433</f>
        <v>263.80799999999999</v>
      </c>
    </row>
    <row r="2434" spans="1:26" ht="18" customHeight="1" x14ac:dyDescent="0.35">
      <c r="A2434" s="274">
        <f>MATCH(B2434,STUDIES!$A$3:$A$502,0)</f>
        <v>104</v>
      </c>
      <c r="B2434" s="86" t="s">
        <v>2100</v>
      </c>
      <c r="D2434" s="232" t="s">
        <v>1056</v>
      </c>
      <c r="E2434" s="272" t="s">
        <v>151</v>
      </c>
      <c r="F2434" s="155" t="str">
        <f>_xlfn.XLOOKUP(B2434,STUDIES!$A$3:$A$1063,STUDIES!$G$3:$G$1063,"Not Found!")</f>
        <v>A</v>
      </c>
      <c r="G2434" s="273" t="s">
        <v>147</v>
      </c>
      <c r="H2434" s="273">
        <v>16</v>
      </c>
      <c r="I2434" s="273">
        <v>431</v>
      </c>
      <c r="K2434" s="268">
        <v>27.1</v>
      </c>
      <c r="M2434" s="268">
        <v>11</v>
      </c>
      <c r="X2434" s="276">
        <v>7.9</v>
      </c>
      <c r="Z2434" s="268">
        <v>8</v>
      </c>
    </row>
    <row r="2435" spans="1:26" ht="18" customHeight="1" x14ac:dyDescent="0.35">
      <c r="A2435" s="274">
        <f>MATCH(B2435,STUDIES!$A$3:$A$502,0)</f>
        <v>104</v>
      </c>
      <c r="B2435" s="86" t="s">
        <v>2100</v>
      </c>
      <c r="D2435" s="232" t="s">
        <v>2101</v>
      </c>
      <c r="E2435" s="272" t="s">
        <v>151</v>
      </c>
      <c r="F2435" s="155" t="str">
        <f>_xlfn.XLOOKUP(B2435,STUDIES!$A$3:$A$1063,STUDIES!$G$3:$G$1063,"Not Found!")</f>
        <v>A</v>
      </c>
      <c r="G2435" s="273" t="s">
        <v>147</v>
      </c>
      <c r="H2435" s="273">
        <v>16</v>
      </c>
      <c r="I2435" s="273">
        <v>425</v>
      </c>
      <c r="K2435" s="268">
        <v>27.6</v>
      </c>
      <c r="M2435" s="268">
        <v>11.6</v>
      </c>
      <c r="X2435" s="276">
        <v>5.6</v>
      </c>
      <c r="Z2435" s="268">
        <v>7</v>
      </c>
    </row>
    <row r="2436" spans="1:26" ht="18" customHeight="1" x14ac:dyDescent="0.35">
      <c r="A2436" s="274">
        <f>MATCH(B2436,STUDIES!$A$3:$A$502,0)</f>
        <v>104</v>
      </c>
      <c r="B2436" s="86" t="s">
        <v>2100</v>
      </c>
      <c r="D2436" s="232" t="s">
        <v>1056</v>
      </c>
      <c r="E2436" s="272" t="s">
        <v>695</v>
      </c>
      <c r="F2436" s="155" t="str">
        <f>_xlfn.XLOOKUP(B2436,STUDIES!$A$3:$A$1063,STUDIES!$G$3:$G$1063,"Not Found!")</f>
        <v>A</v>
      </c>
      <c r="G2436" s="273" t="s">
        <v>147</v>
      </c>
      <c r="H2436" s="273">
        <v>16</v>
      </c>
      <c r="I2436" s="273">
        <v>390</v>
      </c>
      <c r="K2436" s="268">
        <v>7.5</v>
      </c>
      <c r="M2436" s="268">
        <v>1.5</v>
      </c>
      <c r="X2436" s="276">
        <v>3.3</v>
      </c>
      <c r="Z2436" s="268">
        <v>2.2999999999999998</v>
      </c>
    </row>
    <row r="2437" spans="1:26" ht="18" customHeight="1" x14ac:dyDescent="0.35">
      <c r="A2437" s="274">
        <f>MATCH(B2437,STUDIES!$A$3:$A$502,0)</f>
        <v>104</v>
      </c>
      <c r="B2437" s="86" t="s">
        <v>2100</v>
      </c>
      <c r="D2437" s="232" t="s">
        <v>2101</v>
      </c>
      <c r="E2437" s="272" t="s">
        <v>695</v>
      </c>
      <c r="F2437" s="155" t="str">
        <f>_xlfn.XLOOKUP(B2437,STUDIES!$A$3:$A$1063,STUDIES!$G$3:$G$1063,"Not Found!")</f>
        <v>A</v>
      </c>
      <c r="G2437" s="273" t="s">
        <v>147</v>
      </c>
      <c r="H2437" s="273">
        <v>16</v>
      </c>
      <c r="I2437" s="273">
        <v>397</v>
      </c>
      <c r="K2437" s="268">
        <v>7.6</v>
      </c>
      <c r="M2437" s="268">
        <v>1.5</v>
      </c>
      <c r="X2437" s="276">
        <v>2.7</v>
      </c>
      <c r="Z2437" s="268">
        <v>2.2000000000000002</v>
      </c>
    </row>
    <row r="2438" spans="1:26" ht="18" customHeight="1" x14ac:dyDescent="0.35">
      <c r="A2438" s="274">
        <f>MATCH(B2438,STUDIES!$A$3:$A$502,0)</f>
        <v>105</v>
      </c>
      <c r="B2438" s="116" t="s">
        <v>2228</v>
      </c>
      <c r="D2438" t="s">
        <v>1833</v>
      </c>
      <c r="E2438" s="272" t="s">
        <v>153</v>
      </c>
      <c r="F2438" s="155" t="str">
        <f>_xlfn.XLOOKUP(B2438,STUDIES!$A$3:$A$1063,STUDIES!$G$3:$G$1063,"Not Found!")</f>
        <v>A</v>
      </c>
      <c r="G2438" s="273" t="s">
        <v>152</v>
      </c>
      <c r="H2438" s="273">
        <v>24</v>
      </c>
      <c r="I2438" s="273">
        <v>77</v>
      </c>
      <c r="R2438" s="283">
        <v>-9.9600000000000009</v>
      </c>
      <c r="T2438" s="268">
        <v>7.89</v>
      </c>
    </row>
    <row r="2439" spans="1:26" ht="18" customHeight="1" x14ac:dyDescent="0.35">
      <c r="A2439" s="274">
        <f>MATCH(B2439,STUDIES!$A$3:$A$502,0)</f>
        <v>105</v>
      </c>
      <c r="B2439" s="116" t="s">
        <v>2228</v>
      </c>
      <c r="D2439" s="232" t="s">
        <v>2110</v>
      </c>
      <c r="E2439" s="272" t="s">
        <v>153</v>
      </c>
      <c r="F2439" s="155" t="str">
        <f>_xlfn.XLOOKUP(B2439,STUDIES!$A$3:$A$1063,STUDIES!$G$3:$G$1063,"Not Found!")</f>
        <v>A</v>
      </c>
      <c r="G2439" s="273" t="s">
        <v>152</v>
      </c>
      <c r="H2439" s="273">
        <v>24</v>
      </c>
      <c r="I2439" s="273">
        <v>78</v>
      </c>
      <c r="R2439" s="283">
        <v>-7.21</v>
      </c>
      <c r="T2439" s="268">
        <v>8.2100000000000009</v>
      </c>
    </row>
    <row r="2440" spans="1:26" ht="18" customHeight="1" x14ac:dyDescent="0.35">
      <c r="A2440" s="274">
        <f>MATCH(B2440,STUDIES!$A$3:$A$502,0)</f>
        <v>105</v>
      </c>
      <c r="B2440" s="116" t="s">
        <v>2228</v>
      </c>
      <c r="D2440" s="387" t="s">
        <v>2113</v>
      </c>
      <c r="E2440" s="272" t="s">
        <v>153</v>
      </c>
      <c r="F2440" s="155" t="str">
        <f>_xlfn.XLOOKUP(B2440,STUDIES!$A$3:$A$1063,STUDIES!$G$3:$G$1063,"Not Found!")</f>
        <v>A</v>
      </c>
      <c r="G2440" s="273" t="s">
        <v>152</v>
      </c>
      <c r="H2440" s="273">
        <v>24</v>
      </c>
      <c r="I2440" s="273">
        <v>77</v>
      </c>
      <c r="R2440" s="283">
        <v>-7.86</v>
      </c>
      <c r="T2440" s="268">
        <v>8.57</v>
      </c>
    </row>
    <row r="2441" spans="1:26" ht="18" customHeight="1" x14ac:dyDescent="0.35">
      <c r="A2441" s="274">
        <f>MATCH(B2441,STUDIES!$A$3:$A$502,0)</f>
        <v>105</v>
      </c>
      <c r="B2441" s="116" t="s">
        <v>2228</v>
      </c>
      <c r="D2441" s="387" t="s">
        <v>2114</v>
      </c>
      <c r="E2441" s="272" t="s">
        <v>153</v>
      </c>
      <c r="F2441" s="155" t="str">
        <f>_xlfn.XLOOKUP(B2441,STUDIES!$A$3:$A$1063,STUDIES!$G$3:$G$1063,"Not Found!")</f>
        <v>A</v>
      </c>
      <c r="G2441" s="273" t="s">
        <v>152</v>
      </c>
      <c r="H2441" s="273">
        <v>24</v>
      </c>
      <c r="I2441" s="273">
        <v>79</v>
      </c>
      <c r="R2441" s="283">
        <v>-7.64</v>
      </c>
      <c r="T2441" s="268">
        <v>7.01</v>
      </c>
    </row>
    <row r="2442" spans="1:26" ht="18" customHeight="1" x14ac:dyDescent="0.35">
      <c r="A2442" s="274">
        <f>MATCH(B2442,STUDIES!$A$3:$A$502,0)</f>
        <v>105</v>
      </c>
      <c r="B2442" s="116" t="s">
        <v>2228</v>
      </c>
      <c r="D2442" s="232" t="s">
        <v>148</v>
      </c>
      <c r="E2442" s="272" t="s">
        <v>153</v>
      </c>
      <c r="F2442" s="155" t="str">
        <f>_xlfn.XLOOKUP(B2442,STUDIES!$A$3:$A$1063,STUDIES!$G$3:$G$1063,"Not Found!")</f>
        <v>A</v>
      </c>
      <c r="G2442" s="273" t="s">
        <v>152</v>
      </c>
      <c r="H2442" s="273">
        <v>24</v>
      </c>
      <c r="I2442" s="273">
        <v>79</v>
      </c>
      <c r="R2442" s="283">
        <v>-2.19</v>
      </c>
      <c r="T2442" s="268">
        <v>7.31</v>
      </c>
    </row>
    <row r="2443" spans="1:26" ht="18" customHeight="1" x14ac:dyDescent="0.35">
      <c r="A2443" s="274">
        <f>MATCH(B2443,STUDIES!$A$3:$A$502,0)</f>
        <v>105</v>
      </c>
      <c r="B2443" s="116" t="s">
        <v>2228</v>
      </c>
      <c r="D2443" t="s">
        <v>1833</v>
      </c>
      <c r="E2443" s="272" t="s">
        <v>154</v>
      </c>
      <c r="F2443" s="155" t="str">
        <f>_xlfn.XLOOKUP(B2443,STUDIES!$A$3:$A$1063,STUDIES!$G$3:$G$1063,"Not Found!")</f>
        <v>A</v>
      </c>
      <c r="G2443" s="273" t="s">
        <v>152</v>
      </c>
      <c r="H2443" s="273">
        <v>24</v>
      </c>
      <c r="I2443" s="273">
        <v>77</v>
      </c>
      <c r="R2443" s="283">
        <v>-8.33</v>
      </c>
      <c r="T2443" s="268">
        <v>7.04</v>
      </c>
    </row>
    <row r="2444" spans="1:26" ht="18" customHeight="1" x14ac:dyDescent="0.35">
      <c r="A2444" s="274">
        <f>MATCH(B2444,STUDIES!$A$3:$A$502,0)</f>
        <v>105</v>
      </c>
      <c r="B2444" s="116" t="s">
        <v>2228</v>
      </c>
      <c r="D2444" s="232" t="s">
        <v>2110</v>
      </c>
      <c r="E2444" s="272" t="s">
        <v>154</v>
      </c>
      <c r="F2444" s="155" t="str">
        <f>_xlfn.XLOOKUP(B2444,STUDIES!$A$3:$A$1063,STUDIES!$G$3:$G$1063,"Not Found!")</f>
        <v>A</v>
      </c>
      <c r="G2444" s="273" t="s">
        <v>152</v>
      </c>
      <c r="H2444" s="273">
        <v>24</v>
      </c>
      <c r="I2444" s="273">
        <v>78</v>
      </c>
      <c r="R2444" s="283">
        <v>-6.54</v>
      </c>
      <c r="T2444" s="268">
        <v>6.38</v>
      </c>
    </row>
    <row r="2445" spans="1:26" ht="18" customHeight="1" x14ac:dyDescent="0.35">
      <c r="A2445" s="274">
        <f>MATCH(B2445,STUDIES!$A$3:$A$502,0)</f>
        <v>105</v>
      </c>
      <c r="B2445" s="116" t="s">
        <v>2228</v>
      </c>
      <c r="D2445" s="387" t="s">
        <v>2113</v>
      </c>
      <c r="E2445" s="272" t="s">
        <v>154</v>
      </c>
      <c r="F2445" s="155" t="str">
        <f>_xlfn.XLOOKUP(B2445,STUDIES!$A$3:$A$1063,STUDIES!$G$3:$G$1063,"Not Found!")</f>
        <v>A</v>
      </c>
      <c r="G2445" s="273" t="s">
        <v>152</v>
      </c>
      <c r="H2445" s="273">
        <v>24</v>
      </c>
      <c r="I2445" s="273">
        <v>77</v>
      </c>
      <c r="R2445" s="283">
        <v>-6.74</v>
      </c>
      <c r="T2445" s="268">
        <v>8.68</v>
      </c>
    </row>
    <row r="2446" spans="1:26" ht="18" customHeight="1" x14ac:dyDescent="0.35">
      <c r="A2446" s="274">
        <f>MATCH(B2446,STUDIES!$A$3:$A$502,0)</f>
        <v>105</v>
      </c>
      <c r="B2446" s="116" t="s">
        <v>2228</v>
      </c>
      <c r="D2446" s="387" t="s">
        <v>2114</v>
      </c>
      <c r="E2446" s="272" t="s">
        <v>154</v>
      </c>
      <c r="F2446" s="155" t="str">
        <f>_xlfn.XLOOKUP(B2446,STUDIES!$A$3:$A$1063,STUDIES!$G$3:$G$1063,"Not Found!")</f>
        <v>A</v>
      </c>
      <c r="G2446" s="273" t="s">
        <v>152</v>
      </c>
      <c r="H2446" s="273">
        <v>24</v>
      </c>
      <c r="I2446" s="273">
        <v>79</v>
      </c>
      <c r="R2446" s="283">
        <v>-7.69</v>
      </c>
      <c r="T2446" s="268">
        <v>7.23</v>
      </c>
    </row>
    <row r="2447" spans="1:26" ht="18" customHeight="1" x14ac:dyDescent="0.35">
      <c r="A2447" s="274">
        <f>MATCH(B2447,STUDIES!$A$3:$A$502,0)</f>
        <v>105</v>
      </c>
      <c r="B2447" s="116" t="s">
        <v>2228</v>
      </c>
      <c r="D2447" s="232" t="s">
        <v>148</v>
      </c>
      <c r="E2447" s="272" t="s">
        <v>154</v>
      </c>
      <c r="F2447" s="155" t="str">
        <f>_xlfn.XLOOKUP(B2447,STUDIES!$A$3:$A$1063,STUDIES!$G$3:$G$1063,"Not Found!")</f>
        <v>A</v>
      </c>
      <c r="G2447" s="273" t="s">
        <v>152</v>
      </c>
      <c r="H2447" s="273">
        <v>24</v>
      </c>
      <c r="I2447" s="273">
        <v>79</v>
      </c>
      <c r="R2447" s="283">
        <v>-2.2999999999999998</v>
      </c>
      <c r="T2447" s="268">
        <v>6.41</v>
      </c>
    </row>
    <row r="2448" spans="1:26" ht="18" customHeight="1" x14ac:dyDescent="0.35">
      <c r="A2448" s="274">
        <f>MATCH(B2448,STUDIES!$A$3:$A$502,0)</f>
        <v>106</v>
      </c>
      <c r="B2448" s="116" t="s">
        <v>2120</v>
      </c>
      <c r="D2448" s="232" t="s">
        <v>2134</v>
      </c>
      <c r="E2448" s="272" t="s">
        <v>154</v>
      </c>
      <c r="F2448" s="155" t="str">
        <f>_xlfn.XLOOKUP(B2448,STUDIES!$A$3:$A$1063,STUDIES!$G$3:$G$1063,"Not Found!")</f>
        <v>A</v>
      </c>
      <c r="G2448" s="273" t="s">
        <v>152</v>
      </c>
      <c r="H2448" s="273">
        <v>52</v>
      </c>
      <c r="I2448" s="468">
        <v>15</v>
      </c>
      <c r="K2448" s="268">
        <v>12.1</v>
      </c>
      <c r="M2448" s="268">
        <v>2.2999999999999998</v>
      </c>
      <c r="X2448" s="276">
        <v>8.6999999999999993</v>
      </c>
      <c r="Z2448" s="268">
        <v>1.4</v>
      </c>
    </row>
    <row r="2449" spans="1:26" ht="18" customHeight="1" x14ac:dyDescent="0.35">
      <c r="A2449" s="274">
        <f>MATCH(B2449,STUDIES!$A$3:$A$502,0)</f>
        <v>106</v>
      </c>
      <c r="B2449" s="116" t="s">
        <v>2120</v>
      </c>
      <c r="D2449" s="232" t="s">
        <v>1056</v>
      </c>
      <c r="E2449" s="272" t="s">
        <v>154</v>
      </c>
      <c r="F2449" s="155" t="str">
        <f>_xlfn.XLOOKUP(B2449,STUDIES!$A$3:$A$1063,STUDIES!$G$3:$G$1063,"Not Found!")</f>
        <v>A</v>
      </c>
      <c r="G2449" s="273" t="s">
        <v>152</v>
      </c>
      <c r="H2449" s="273">
        <v>52</v>
      </c>
      <c r="I2449" s="468">
        <v>15</v>
      </c>
      <c r="K2449" s="268">
        <v>10.9</v>
      </c>
      <c r="M2449" s="268">
        <v>2.7</v>
      </c>
      <c r="X2449" s="276">
        <v>5.0999999999999996</v>
      </c>
      <c r="Z2449" s="268">
        <v>2.1</v>
      </c>
    </row>
    <row r="2450" spans="1:26" ht="18" customHeight="1" x14ac:dyDescent="0.35">
      <c r="A2450" s="274">
        <f>MATCH(B2450,STUDIES!$A$3:$A$502,0)</f>
        <v>106</v>
      </c>
      <c r="B2450" s="116" t="s">
        <v>2120</v>
      </c>
      <c r="D2450" s="232" t="s">
        <v>2135</v>
      </c>
      <c r="E2450" s="272" t="s">
        <v>154</v>
      </c>
      <c r="F2450" s="155" t="str">
        <f>_xlfn.XLOOKUP(B2450,STUDIES!$A$3:$A$1063,STUDIES!$G$3:$G$1063,"Not Found!")</f>
        <v>A</v>
      </c>
      <c r="G2450" s="273" t="s">
        <v>152</v>
      </c>
      <c r="H2450" s="273">
        <v>52</v>
      </c>
      <c r="I2450" s="468">
        <v>20</v>
      </c>
      <c r="K2450" s="268">
        <v>12.6</v>
      </c>
      <c r="M2450" s="268">
        <v>1.8</v>
      </c>
      <c r="X2450" s="276">
        <v>4.3</v>
      </c>
      <c r="Z2450" s="268">
        <v>0.77</v>
      </c>
    </row>
    <row r="2451" spans="1:26" ht="18" customHeight="1" x14ac:dyDescent="0.35">
      <c r="A2451" s="274">
        <f>MATCH(B2451,STUDIES!$A$3:$A$502,0)</f>
        <v>106</v>
      </c>
      <c r="B2451" s="116" t="s">
        <v>2120</v>
      </c>
      <c r="D2451" s="387" t="s">
        <v>2137</v>
      </c>
      <c r="E2451" s="272" t="s">
        <v>154</v>
      </c>
      <c r="F2451" s="155" t="str">
        <f>_xlfn.XLOOKUP(B2451,STUDIES!$A$3:$A$1063,STUDIES!$G$3:$G$1063,"Not Found!")</f>
        <v>A</v>
      </c>
      <c r="G2451" s="273" t="s">
        <v>152</v>
      </c>
      <c r="H2451" s="273">
        <v>52</v>
      </c>
      <c r="I2451" s="468">
        <v>15</v>
      </c>
      <c r="K2451" s="268">
        <v>11.4</v>
      </c>
      <c r="M2451" s="268">
        <v>1.5</v>
      </c>
      <c r="X2451" s="276">
        <v>6.9</v>
      </c>
      <c r="Z2451" s="268">
        <v>5.0999999999999996</v>
      </c>
    </row>
    <row r="2452" spans="1:26" ht="18" customHeight="1" x14ac:dyDescent="0.35">
      <c r="A2452" s="274">
        <f>MATCH(B2452,STUDIES!$A$3:$A$502,0)</f>
        <v>106</v>
      </c>
      <c r="B2452" s="116" t="s">
        <v>2120</v>
      </c>
      <c r="D2452" s="232" t="s">
        <v>2134</v>
      </c>
      <c r="E2452" s="272" t="s">
        <v>1167</v>
      </c>
      <c r="F2452" s="155" t="str">
        <f>_xlfn.XLOOKUP(B2452,STUDIES!$A$3:$A$1063,STUDIES!$G$3:$G$1063,"Not Found!")</f>
        <v>A</v>
      </c>
      <c r="G2452" s="273" t="s">
        <v>152</v>
      </c>
      <c r="H2452" s="273">
        <v>52</v>
      </c>
      <c r="I2452" s="468">
        <v>15</v>
      </c>
      <c r="J2452" s="274">
        <v>0</v>
      </c>
    </row>
    <row r="2453" spans="1:26" ht="18" customHeight="1" x14ac:dyDescent="0.35">
      <c r="A2453" s="274">
        <f>MATCH(B2453,STUDIES!$A$3:$A$502,0)</f>
        <v>106</v>
      </c>
      <c r="B2453" s="116" t="s">
        <v>2120</v>
      </c>
      <c r="D2453" s="232" t="s">
        <v>1056</v>
      </c>
      <c r="E2453" s="272" t="s">
        <v>1167</v>
      </c>
      <c r="F2453" s="155" t="str">
        <f>_xlfn.XLOOKUP(B2453,STUDIES!$A$3:$A$1063,STUDIES!$G$3:$G$1063,"Not Found!")</f>
        <v>A</v>
      </c>
      <c r="G2453" s="273" t="s">
        <v>152</v>
      </c>
      <c r="H2453" s="273">
        <v>52</v>
      </c>
      <c r="I2453" s="468">
        <v>15</v>
      </c>
      <c r="J2453" s="274">
        <v>0</v>
      </c>
    </row>
    <row r="2454" spans="1:26" ht="18" customHeight="1" x14ac:dyDescent="0.35">
      <c r="A2454" s="274">
        <f>MATCH(B2454,STUDIES!$A$3:$A$502,0)</f>
        <v>106</v>
      </c>
      <c r="B2454" s="116" t="s">
        <v>2120</v>
      </c>
      <c r="D2454" s="232" t="s">
        <v>2135</v>
      </c>
      <c r="E2454" s="272" t="s">
        <v>1167</v>
      </c>
      <c r="F2454" s="155" t="str">
        <f>_xlfn.XLOOKUP(B2454,STUDIES!$A$3:$A$1063,STUDIES!$G$3:$G$1063,"Not Found!")</f>
        <v>A</v>
      </c>
      <c r="G2454" s="273" t="s">
        <v>152</v>
      </c>
      <c r="H2454" s="273">
        <v>52</v>
      </c>
      <c r="I2454" s="468">
        <v>20</v>
      </c>
      <c r="J2454" s="274">
        <v>0</v>
      </c>
    </row>
    <row r="2455" spans="1:26" ht="18" customHeight="1" x14ac:dyDescent="0.35">
      <c r="A2455" s="274">
        <f>MATCH(B2455,STUDIES!$A$3:$A$502,0)</f>
        <v>106</v>
      </c>
      <c r="B2455" s="116" t="s">
        <v>2120</v>
      </c>
      <c r="D2455" s="387" t="s">
        <v>2137</v>
      </c>
      <c r="E2455" s="272" t="s">
        <v>1167</v>
      </c>
      <c r="F2455" s="155" t="str">
        <f>_xlfn.XLOOKUP(B2455,STUDIES!$A$3:$A$1063,STUDIES!$G$3:$G$1063,"Not Found!")</f>
        <v>A</v>
      </c>
      <c r="G2455" s="273" t="s">
        <v>152</v>
      </c>
      <c r="H2455" s="273">
        <v>52</v>
      </c>
      <c r="I2455" s="468">
        <v>15</v>
      </c>
      <c r="J2455" s="274">
        <v>1</v>
      </c>
    </row>
    <row r="2456" spans="1:26" ht="18" customHeight="1" x14ac:dyDescent="0.35">
      <c r="A2456" s="274">
        <f>MATCH(B2456,STUDIES!$A$3:$A$502,0)</f>
        <v>107</v>
      </c>
      <c r="B2456" s="86" t="s">
        <v>2143</v>
      </c>
      <c r="D2456" t="s">
        <v>1073</v>
      </c>
      <c r="E2456" s="272" t="s">
        <v>1243</v>
      </c>
      <c r="F2456" s="155" t="str">
        <f>_xlfn.XLOOKUP(B2456,STUDIES!$A$3:$A$1063,STUDIES!$G$3:$G$1063,"Not Found!")</f>
        <v>A</v>
      </c>
      <c r="G2456" s="273" t="s">
        <v>147</v>
      </c>
      <c r="H2456" s="273">
        <v>16</v>
      </c>
      <c r="I2456" s="273">
        <v>220</v>
      </c>
      <c r="J2456" s="274">
        <f>0.684*I2456</f>
        <v>150.48000000000002</v>
      </c>
    </row>
    <row r="2457" spans="1:26" ht="18" customHeight="1" x14ac:dyDescent="0.35">
      <c r="A2457" s="274">
        <f>MATCH(B2457,STUDIES!$A$3:$A$502,0)</f>
        <v>107</v>
      </c>
      <c r="B2457" s="86" t="s">
        <v>2143</v>
      </c>
      <c r="D2457" t="s">
        <v>148</v>
      </c>
      <c r="E2457" s="272" t="s">
        <v>1243</v>
      </c>
      <c r="F2457" s="155" t="str">
        <f>_xlfn.XLOOKUP(B2457,STUDIES!$A$3:$A$1063,STUDIES!$G$3:$G$1063,"Not Found!")</f>
        <v>A</v>
      </c>
      <c r="G2457" s="273" t="s">
        <v>147</v>
      </c>
      <c r="H2457" s="273">
        <v>16</v>
      </c>
      <c r="I2457" s="273">
        <v>111</v>
      </c>
      <c r="J2457" s="274">
        <f>0.408*I2457</f>
        <v>45.287999999999997</v>
      </c>
    </row>
    <row r="2458" spans="1:26" ht="18" customHeight="1" x14ac:dyDescent="0.35">
      <c r="A2458" s="274">
        <f>MATCH(B2458,STUDIES!$A$3:$A$502,0)</f>
        <v>107</v>
      </c>
      <c r="B2458" s="86" t="s">
        <v>2143</v>
      </c>
      <c r="D2458" t="s">
        <v>1073</v>
      </c>
      <c r="E2458" s="272" t="s">
        <v>1268</v>
      </c>
      <c r="F2458" s="155" t="str">
        <f>_xlfn.XLOOKUP(B2458,STUDIES!$A$3:$A$1063,STUDIES!$G$3:$G$1063,"Not Found!")</f>
        <v>A</v>
      </c>
      <c r="G2458" s="273" t="s">
        <v>147</v>
      </c>
      <c r="H2458" s="273">
        <v>16</v>
      </c>
      <c r="I2458" s="273">
        <v>220</v>
      </c>
      <c r="J2458" s="274">
        <f>0.42*I2458</f>
        <v>92.399999999999991</v>
      </c>
    </row>
    <row r="2459" spans="1:26" ht="18" customHeight="1" x14ac:dyDescent="0.35">
      <c r="A2459" s="274">
        <f>MATCH(B2459,STUDIES!$A$3:$A$502,0)</f>
        <v>107</v>
      </c>
      <c r="B2459" s="86" t="s">
        <v>2143</v>
      </c>
      <c r="D2459" t="s">
        <v>148</v>
      </c>
      <c r="E2459" s="272" t="s">
        <v>1268</v>
      </c>
      <c r="F2459" s="155" t="str">
        <f>_xlfn.XLOOKUP(B2459,STUDIES!$A$3:$A$1063,STUDIES!$G$3:$G$1063,"Not Found!")</f>
        <v>A</v>
      </c>
      <c r="G2459" s="273" t="s">
        <v>147</v>
      </c>
      <c r="H2459" s="273">
        <v>16</v>
      </c>
      <c r="I2459" s="273">
        <v>111</v>
      </c>
      <c r="J2459" s="274">
        <f>0.245*I2459</f>
        <v>27.195</v>
      </c>
    </row>
    <row r="2460" spans="1:26" ht="18" customHeight="1" x14ac:dyDescent="0.35">
      <c r="A2460" s="274">
        <f>MATCH(B2460,STUDIES!$A$3:$A$502,0)</f>
        <v>107</v>
      </c>
      <c r="B2460" s="86" t="s">
        <v>2143</v>
      </c>
      <c r="D2460" t="s">
        <v>1073</v>
      </c>
      <c r="E2460" s="272" t="s">
        <v>1244</v>
      </c>
      <c r="F2460" s="155" t="str">
        <f>_xlfn.XLOOKUP(B2460,STUDIES!$A$3:$A$1063,STUDIES!$G$3:$G$1063,"Not Found!")</f>
        <v>A</v>
      </c>
      <c r="G2460" s="273" t="s">
        <v>147</v>
      </c>
      <c r="H2460" s="273">
        <v>16</v>
      </c>
      <c r="I2460" s="273">
        <v>220</v>
      </c>
      <c r="J2460" s="274">
        <f>0.429*I2460</f>
        <v>94.38</v>
      </c>
    </row>
    <row r="2461" spans="1:26" ht="18" customHeight="1" x14ac:dyDescent="0.35">
      <c r="A2461" s="274">
        <f>MATCH(B2461,STUDIES!$A$3:$A$502,0)</f>
        <v>107</v>
      </c>
      <c r="B2461" s="86" t="s">
        <v>2143</v>
      </c>
      <c r="D2461" t="s">
        <v>148</v>
      </c>
      <c r="E2461" s="272" t="s">
        <v>1244</v>
      </c>
      <c r="F2461" s="155" t="str">
        <f>_xlfn.XLOOKUP(B2461,STUDIES!$A$3:$A$1063,STUDIES!$G$3:$G$1063,"Not Found!")</f>
        <v>A</v>
      </c>
      <c r="G2461" s="273" t="s">
        <v>147</v>
      </c>
      <c r="H2461" s="273">
        <v>16</v>
      </c>
      <c r="I2461" s="273">
        <v>111</v>
      </c>
      <c r="J2461" s="274">
        <f>0.208*I2461</f>
        <v>23.087999999999997</v>
      </c>
    </row>
    <row r="2462" spans="1:26" ht="18" customHeight="1" x14ac:dyDescent="0.35">
      <c r="A2462" s="274">
        <f>MATCH(B2462,STUDIES!$A$3:$A$502,0)</f>
        <v>107</v>
      </c>
      <c r="B2462" s="86" t="s">
        <v>2143</v>
      </c>
      <c r="D2462" t="s">
        <v>1073</v>
      </c>
      <c r="E2462" s="272" t="s">
        <v>1258</v>
      </c>
      <c r="F2462" s="155" t="str">
        <f>_xlfn.XLOOKUP(B2462,STUDIES!$A$3:$A$1063,STUDIES!$G$3:$G$1063,"Not Found!")</f>
        <v>A</v>
      </c>
      <c r="G2462" s="273" t="s">
        <v>147</v>
      </c>
      <c r="H2462" s="273">
        <v>16</v>
      </c>
      <c r="I2462" s="273">
        <v>220</v>
      </c>
      <c r="J2462" s="274">
        <f>0.826*I2462</f>
        <v>181.72</v>
      </c>
    </row>
    <row r="2463" spans="1:26" ht="18" customHeight="1" x14ac:dyDescent="0.35">
      <c r="A2463" s="274">
        <f>MATCH(B2463,STUDIES!$A$3:$A$502,0)</f>
        <v>107</v>
      </c>
      <c r="B2463" s="86" t="s">
        <v>2143</v>
      </c>
      <c r="D2463" t="s">
        <v>148</v>
      </c>
      <c r="E2463" s="272" t="s">
        <v>1258</v>
      </c>
      <c r="F2463" s="155" t="str">
        <f>_xlfn.XLOOKUP(B2463,STUDIES!$A$3:$A$1063,STUDIES!$G$3:$G$1063,"Not Found!")</f>
        <v>A</v>
      </c>
      <c r="G2463" s="273" t="s">
        <v>147</v>
      </c>
      <c r="H2463" s="273">
        <v>16</v>
      </c>
      <c r="I2463" s="273">
        <v>111</v>
      </c>
      <c r="J2463" s="274">
        <f>0.653*I2463</f>
        <v>72.483000000000004</v>
      </c>
    </row>
    <row r="2464" spans="1:26" ht="18" customHeight="1" x14ac:dyDescent="0.35">
      <c r="A2464" s="274">
        <f>MATCH(B2464,STUDIES!$A$3:$A$502,0)</f>
        <v>107</v>
      </c>
      <c r="B2464" s="86" t="s">
        <v>2143</v>
      </c>
      <c r="D2464" t="s">
        <v>1073</v>
      </c>
      <c r="E2464" s="272" t="s">
        <v>695</v>
      </c>
      <c r="F2464" s="155" t="str">
        <f>_xlfn.XLOOKUP(B2464,STUDIES!$A$3:$A$1063,STUDIES!$G$3:$G$1063,"Not Found!")</f>
        <v>A</v>
      </c>
      <c r="G2464" s="273" t="s">
        <v>147</v>
      </c>
      <c r="H2464" s="273">
        <v>16</v>
      </c>
      <c r="I2464" s="273">
        <v>203</v>
      </c>
      <c r="R2464" s="283">
        <v>-3.476</v>
      </c>
      <c r="T2464" s="268">
        <v>2.5453000000000001</v>
      </c>
    </row>
    <row r="2465" spans="1:20" ht="18" customHeight="1" x14ac:dyDescent="0.35">
      <c r="A2465" s="274">
        <f>MATCH(B2465,STUDIES!$A$3:$A$502,0)</f>
        <v>107</v>
      </c>
      <c r="B2465" s="86" t="s">
        <v>2143</v>
      </c>
      <c r="D2465" t="s">
        <v>148</v>
      </c>
      <c r="E2465" s="272" t="s">
        <v>695</v>
      </c>
      <c r="F2465" s="155" t="str">
        <f>_xlfn.XLOOKUP(B2465,STUDIES!$A$3:$A$1063,STUDIES!$G$3:$G$1063,"Not Found!")</f>
        <v>A</v>
      </c>
      <c r="G2465" s="273" t="s">
        <v>147</v>
      </c>
      <c r="H2465" s="273">
        <v>16</v>
      </c>
      <c r="I2465" s="273">
        <v>92</v>
      </c>
      <c r="R2465" s="283">
        <v>-2.1829999999999998</v>
      </c>
      <c r="T2465" s="268">
        <v>2.4245999999999999</v>
      </c>
    </row>
    <row r="2466" spans="1:20" ht="18" customHeight="1" x14ac:dyDescent="0.35">
      <c r="A2466" s="274">
        <f>MATCH(B2466,STUDIES!$A$3:$A$502,0)</f>
        <v>107</v>
      </c>
      <c r="B2466" s="86" t="s">
        <v>2143</v>
      </c>
      <c r="D2466" t="s">
        <v>1073</v>
      </c>
      <c r="E2466" s="272" t="s">
        <v>153</v>
      </c>
      <c r="F2466" s="155" t="str">
        <f>_xlfn.XLOOKUP(B2466,STUDIES!$A$3:$A$1063,STUDIES!$G$3:$G$1063,"Not Found!")</f>
        <v>A</v>
      </c>
      <c r="G2466" s="273" t="s">
        <v>147</v>
      </c>
      <c r="H2466" s="273">
        <v>16</v>
      </c>
      <c r="I2466" s="273">
        <v>196</v>
      </c>
      <c r="R2466" s="283">
        <v>-11.9</v>
      </c>
      <c r="T2466" s="268">
        <v>8.01</v>
      </c>
    </row>
    <row r="2467" spans="1:20" ht="18" customHeight="1" x14ac:dyDescent="0.35">
      <c r="A2467" s="274">
        <f>MATCH(B2467,STUDIES!$A$3:$A$502,0)</f>
        <v>107</v>
      </c>
      <c r="B2467" s="86" t="s">
        <v>2143</v>
      </c>
      <c r="D2467" t="s">
        <v>148</v>
      </c>
      <c r="E2467" s="272" t="s">
        <v>153</v>
      </c>
      <c r="F2467" s="155" t="str">
        <f>_xlfn.XLOOKUP(B2467,STUDIES!$A$3:$A$1063,STUDIES!$G$3:$G$1063,"Not Found!")</f>
        <v>A</v>
      </c>
      <c r="G2467" s="273" t="s">
        <v>147</v>
      </c>
      <c r="H2467" s="273">
        <v>16</v>
      </c>
      <c r="I2467" s="273">
        <v>87</v>
      </c>
      <c r="R2467" s="283">
        <v>-5.8</v>
      </c>
      <c r="T2467" s="268">
        <v>7.18</v>
      </c>
    </row>
    <row r="2468" spans="1:20" ht="18" customHeight="1" x14ac:dyDescent="0.35">
      <c r="A2468" s="274">
        <f>MATCH(B2468,STUDIES!$A$3:$A$502,0)</f>
        <v>107</v>
      </c>
      <c r="B2468" s="86" t="s">
        <v>2143</v>
      </c>
      <c r="D2468" t="s">
        <v>1073</v>
      </c>
      <c r="E2468" s="272" t="s">
        <v>154</v>
      </c>
      <c r="F2468" s="155" t="str">
        <f>_xlfn.XLOOKUP(B2468,STUDIES!$A$3:$A$1063,STUDIES!$G$3:$G$1063,"Not Found!")</f>
        <v>A</v>
      </c>
      <c r="G2468" s="273" t="s">
        <v>147</v>
      </c>
      <c r="H2468" s="273">
        <v>16</v>
      </c>
      <c r="I2468" s="273">
        <v>175</v>
      </c>
      <c r="R2468" s="283">
        <v>-9.5</v>
      </c>
      <c r="T2468" s="268">
        <v>7.4</v>
      </c>
    </row>
    <row r="2469" spans="1:20" ht="18" customHeight="1" x14ac:dyDescent="0.35">
      <c r="A2469" s="274">
        <f>MATCH(B2469,STUDIES!$A$3:$A$502,0)</f>
        <v>107</v>
      </c>
      <c r="B2469" s="86" t="s">
        <v>2143</v>
      </c>
      <c r="D2469" t="s">
        <v>148</v>
      </c>
      <c r="E2469" s="272" t="s">
        <v>154</v>
      </c>
      <c r="F2469" s="155" t="str">
        <f>_xlfn.XLOOKUP(B2469,STUDIES!$A$3:$A$1063,STUDIES!$G$3:$G$1063,"Not Found!")</f>
        <v>A</v>
      </c>
      <c r="G2469" s="273" t="s">
        <v>147</v>
      </c>
      <c r="H2469" s="273">
        <v>16</v>
      </c>
      <c r="I2469" s="273">
        <v>79</v>
      </c>
      <c r="R2469" s="283">
        <v>-8.1</v>
      </c>
      <c r="T2469" s="268">
        <v>7.62</v>
      </c>
    </row>
    <row r="2470" spans="1:20" ht="18" customHeight="1" x14ac:dyDescent="0.35">
      <c r="A2470" s="274">
        <f>MATCH(B2470,STUDIES!$A$3:$A$502,0)</f>
        <v>107</v>
      </c>
      <c r="B2470" s="86" t="s">
        <v>2143</v>
      </c>
      <c r="C2470" s="435">
        <v>1</v>
      </c>
      <c r="D2470" t="s">
        <v>1073</v>
      </c>
      <c r="E2470" s="272" t="s">
        <v>694</v>
      </c>
      <c r="F2470" s="155" t="s">
        <v>1642</v>
      </c>
      <c r="G2470" s="273" t="s">
        <v>147</v>
      </c>
      <c r="H2470" s="273">
        <v>16</v>
      </c>
      <c r="I2470" s="273">
        <v>21</v>
      </c>
      <c r="R2470" s="283">
        <v>-7.7</v>
      </c>
      <c r="T2470" s="268">
        <v>6.91</v>
      </c>
    </row>
    <row r="2471" spans="1:20" ht="18" customHeight="1" x14ac:dyDescent="0.35">
      <c r="A2471" s="274">
        <f>MATCH(B2471,STUDIES!$A$3:$A$502,0)</f>
        <v>107</v>
      </c>
      <c r="B2471" s="86" t="s">
        <v>2143</v>
      </c>
      <c r="C2471" s="435">
        <v>1</v>
      </c>
      <c r="D2471" t="s">
        <v>148</v>
      </c>
      <c r="E2471" s="272" t="s">
        <v>694</v>
      </c>
      <c r="F2471" s="155" t="s">
        <v>1642</v>
      </c>
      <c r="G2471" s="273" t="s">
        <v>147</v>
      </c>
      <c r="H2471" s="273">
        <v>16</v>
      </c>
      <c r="I2471" s="273">
        <v>8</v>
      </c>
      <c r="R2471" s="283">
        <v>-6.8</v>
      </c>
      <c r="T2471" s="268">
        <v>5.73</v>
      </c>
    </row>
    <row r="2472" spans="1:20" ht="18" customHeight="1" x14ac:dyDescent="0.35">
      <c r="A2472" s="274">
        <f>MATCH(B2472,STUDIES!$A$3:$A$502,0)</f>
        <v>107</v>
      </c>
      <c r="B2472" s="86" t="s">
        <v>2143</v>
      </c>
      <c r="D2472" t="s">
        <v>1073</v>
      </c>
      <c r="E2472" s="272" t="s">
        <v>1163</v>
      </c>
      <c r="F2472" s="155" t="str">
        <f>_xlfn.XLOOKUP(B2472,STUDIES!$A$3:$A$1063,STUDIES!$G$3:$G$1063,"Not Found!")</f>
        <v>A</v>
      </c>
      <c r="G2472" s="273" t="s">
        <v>147</v>
      </c>
      <c r="H2472" s="273">
        <v>16</v>
      </c>
      <c r="I2472" s="273">
        <v>220</v>
      </c>
      <c r="J2472" s="274">
        <v>3</v>
      </c>
    </row>
    <row r="2473" spans="1:20" ht="18" customHeight="1" x14ac:dyDescent="0.35">
      <c r="A2473" s="274">
        <f>MATCH(B2473,STUDIES!$A$3:$A$502,0)</f>
        <v>107</v>
      </c>
      <c r="B2473" s="86" t="s">
        <v>2143</v>
      </c>
      <c r="D2473" t="s">
        <v>148</v>
      </c>
      <c r="E2473" s="272" t="s">
        <v>1163</v>
      </c>
      <c r="F2473" s="155" t="str">
        <f>_xlfn.XLOOKUP(B2473,STUDIES!$A$3:$A$1063,STUDIES!$G$3:$G$1063,"Not Found!")</f>
        <v>A</v>
      </c>
      <c r="G2473" s="273" t="s">
        <v>147</v>
      </c>
      <c r="H2473" s="273">
        <v>16</v>
      </c>
      <c r="I2473" s="273">
        <v>111</v>
      </c>
      <c r="J2473" s="274">
        <v>1</v>
      </c>
    </row>
    <row r="2474" spans="1:20" ht="18" customHeight="1" x14ac:dyDescent="0.35">
      <c r="A2474" s="274">
        <f>MATCH(B2474,STUDIES!$A$3:$A$502,0)</f>
        <v>107</v>
      </c>
      <c r="B2474" s="86" t="s">
        <v>2143</v>
      </c>
      <c r="D2474" t="s">
        <v>1073</v>
      </c>
      <c r="E2474" s="272" t="s">
        <v>1167</v>
      </c>
      <c r="F2474" s="155" t="str">
        <f>_xlfn.XLOOKUP(B2474,STUDIES!$A$3:$A$1063,STUDIES!$G$3:$G$1063,"Not Found!")</f>
        <v>A</v>
      </c>
      <c r="G2474" s="273" t="s">
        <v>147</v>
      </c>
      <c r="H2474" s="273">
        <v>16</v>
      </c>
      <c r="I2474" s="273">
        <v>220</v>
      </c>
      <c r="J2474" s="274">
        <v>2</v>
      </c>
    </row>
    <row r="2475" spans="1:20" ht="18" customHeight="1" x14ac:dyDescent="0.35">
      <c r="A2475" s="274">
        <f>MATCH(B2475,STUDIES!$A$3:$A$502,0)</f>
        <v>107</v>
      </c>
      <c r="B2475" s="86" t="s">
        <v>2143</v>
      </c>
      <c r="D2475" t="s">
        <v>148</v>
      </c>
      <c r="E2475" s="272" t="s">
        <v>1167</v>
      </c>
      <c r="F2475" s="155" t="str">
        <f>_xlfn.XLOOKUP(B2475,STUDIES!$A$3:$A$1063,STUDIES!$G$3:$G$1063,"Not Found!")</f>
        <v>A</v>
      </c>
      <c r="G2475" s="273" t="s">
        <v>147</v>
      </c>
      <c r="H2475" s="273">
        <v>16</v>
      </c>
      <c r="I2475" s="273">
        <v>111</v>
      </c>
      <c r="J2475" s="274">
        <v>2</v>
      </c>
    </row>
    <row r="2476" spans="1:20" ht="18" customHeight="1" x14ac:dyDescent="0.35">
      <c r="A2476" s="274">
        <f>MATCH(B2476,STUDIES!$A$3:$A$502,0)</f>
        <v>108</v>
      </c>
      <c r="B2476" s="116" t="s">
        <v>2236</v>
      </c>
      <c r="D2476" s="232" t="s">
        <v>2150</v>
      </c>
      <c r="E2476" s="272" t="s">
        <v>1268</v>
      </c>
      <c r="F2476" s="155" t="str">
        <f>_xlfn.XLOOKUP(B2476,STUDIES!$A$3:$A$1063,STUDIES!$G$3:$G$1063,"Not Found!")</f>
        <v>A</v>
      </c>
      <c r="G2476" s="273" t="s">
        <v>147</v>
      </c>
      <c r="H2476" s="273">
        <v>16</v>
      </c>
      <c r="I2476" s="273">
        <v>58</v>
      </c>
      <c r="J2476" s="274">
        <f>0.263*I2476</f>
        <v>15.254000000000001</v>
      </c>
    </row>
    <row r="2477" spans="1:20" ht="18" customHeight="1" x14ac:dyDescent="0.35">
      <c r="A2477" s="274">
        <f>MATCH(B2477,STUDIES!$A$3:$A$502,0)</f>
        <v>108</v>
      </c>
      <c r="B2477" s="116" t="s">
        <v>2236</v>
      </c>
      <c r="D2477" s="232" t="s">
        <v>2151</v>
      </c>
      <c r="E2477" s="272" t="s">
        <v>1268</v>
      </c>
      <c r="F2477" s="155" t="str">
        <f>_xlfn.XLOOKUP(B2477,STUDIES!$A$3:$A$1063,STUDIES!$G$3:$G$1063,"Not Found!")</f>
        <v>A</v>
      </c>
      <c r="G2477" s="273" t="s">
        <v>147</v>
      </c>
      <c r="H2477" s="273">
        <v>16</v>
      </c>
      <c r="I2477" s="273">
        <v>61</v>
      </c>
      <c r="J2477" s="274">
        <f>0.243*I2477</f>
        <v>14.823</v>
      </c>
    </row>
    <row r="2478" spans="1:20" ht="18" customHeight="1" x14ac:dyDescent="0.35">
      <c r="A2478" s="274">
        <f>MATCH(B2478,STUDIES!$A$3:$A$502,0)</f>
        <v>108</v>
      </c>
      <c r="B2478" s="116" t="s">
        <v>2236</v>
      </c>
      <c r="D2478" s="232" t="s">
        <v>2152</v>
      </c>
      <c r="E2478" s="272" t="s">
        <v>1268</v>
      </c>
      <c r="F2478" s="155" t="str">
        <f>_xlfn.XLOOKUP(B2478,STUDIES!$A$3:$A$1063,STUDIES!$G$3:$G$1063,"Not Found!")</f>
        <v>A</v>
      </c>
      <c r="G2478" s="273" t="s">
        <v>147</v>
      </c>
      <c r="H2478" s="273">
        <v>16</v>
      </c>
      <c r="I2478" s="273">
        <v>59</v>
      </c>
      <c r="J2478" s="274">
        <f>0.309*I2478</f>
        <v>18.230999999999998</v>
      </c>
    </row>
    <row r="2479" spans="1:20" ht="18" customHeight="1" x14ac:dyDescent="0.35">
      <c r="A2479" s="274">
        <f>MATCH(B2479,STUDIES!$A$3:$A$502,0)</f>
        <v>108</v>
      </c>
      <c r="B2479" s="116" t="s">
        <v>2236</v>
      </c>
      <c r="D2479" s="232" t="s">
        <v>148</v>
      </c>
      <c r="E2479" s="272" t="s">
        <v>1268</v>
      </c>
      <c r="F2479" s="155" t="str">
        <f>_xlfn.XLOOKUP(B2479,STUDIES!$A$3:$A$1063,STUDIES!$G$3:$G$1063,"Not Found!")</f>
        <v>A</v>
      </c>
      <c r="G2479" s="273" t="s">
        <v>147</v>
      </c>
      <c r="H2479" s="273">
        <v>16</v>
      </c>
      <c r="I2479" s="273">
        <v>55</v>
      </c>
      <c r="J2479" s="274">
        <f>0.095*I2479</f>
        <v>5.2249999999999996</v>
      </c>
    </row>
    <row r="2480" spans="1:20" ht="18" customHeight="1" x14ac:dyDescent="0.35">
      <c r="A2480" s="274">
        <f>MATCH(B2480,STUDIES!$A$3:$A$502,0)</f>
        <v>109</v>
      </c>
      <c r="B2480" s="86" t="s">
        <v>2160</v>
      </c>
      <c r="D2480" s="232" t="s">
        <v>1089</v>
      </c>
      <c r="E2480" s="272" t="s">
        <v>1163</v>
      </c>
      <c r="F2480" s="155" t="str">
        <f>_xlfn.XLOOKUP(B2480,STUDIES!$A$3:$A$1063,STUDIES!$G$3:$G$1063,"Not Found!")</f>
        <v>A</v>
      </c>
      <c r="G2480" s="273" t="s">
        <v>147</v>
      </c>
      <c r="H2480" s="273">
        <v>12</v>
      </c>
      <c r="I2480" s="273">
        <v>99</v>
      </c>
      <c r="J2480" s="274">
        <v>0</v>
      </c>
    </row>
    <row r="2481" spans="1:20" ht="18" customHeight="1" x14ac:dyDescent="0.35">
      <c r="A2481" s="274">
        <f>MATCH(B2481,STUDIES!$A$3:$A$502,0)</f>
        <v>109</v>
      </c>
      <c r="B2481" s="86" t="s">
        <v>2160</v>
      </c>
      <c r="D2481" s="232" t="s">
        <v>1088</v>
      </c>
      <c r="E2481" s="272" t="s">
        <v>1163</v>
      </c>
      <c r="F2481" s="155" t="str">
        <f>_xlfn.XLOOKUP(B2481,STUDIES!$A$3:$A$1063,STUDIES!$G$3:$G$1063,"Not Found!")</f>
        <v>A</v>
      </c>
      <c r="G2481" s="273" t="s">
        <v>147</v>
      </c>
      <c r="H2481" s="273">
        <v>12</v>
      </c>
      <c r="I2481" s="273">
        <v>101</v>
      </c>
      <c r="J2481" s="274">
        <v>1</v>
      </c>
    </row>
    <row r="2482" spans="1:20" ht="18" customHeight="1" x14ac:dyDescent="0.35">
      <c r="A2482" s="274">
        <f>MATCH(B2482,STUDIES!$A$3:$A$502,0)</f>
        <v>109</v>
      </c>
      <c r="B2482" s="86" t="s">
        <v>2160</v>
      </c>
      <c r="D2482" s="232" t="s">
        <v>1089</v>
      </c>
      <c r="E2482" s="272" t="s">
        <v>1268</v>
      </c>
      <c r="F2482" s="155" t="str">
        <f>_xlfn.XLOOKUP(B2482,STUDIES!$A$3:$A$1063,STUDIES!$G$3:$G$1063,"Not Found!")</f>
        <v>A</v>
      </c>
      <c r="G2482" s="273" t="s">
        <v>147</v>
      </c>
      <c r="H2482" s="273">
        <v>12</v>
      </c>
      <c r="I2482" s="273">
        <v>99</v>
      </c>
      <c r="J2482" s="274">
        <f>0.485*I2482</f>
        <v>48.015000000000001</v>
      </c>
    </row>
    <row r="2483" spans="1:20" ht="18" customHeight="1" x14ac:dyDescent="0.35">
      <c r="A2483" s="274">
        <f>MATCH(B2483,STUDIES!$A$3:$A$502,0)</f>
        <v>109</v>
      </c>
      <c r="B2483" s="86" t="s">
        <v>2160</v>
      </c>
      <c r="D2483" s="232" t="s">
        <v>1088</v>
      </c>
      <c r="E2483" s="272" t="s">
        <v>1268</v>
      </c>
      <c r="F2483" s="155" t="str">
        <f>_xlfn.XLOOKUP(B2483,STUDIES!$A$3:$A$1063,STUDIES!$G$3:$G$1063,"Not Found!")</f>
        <v>A</v>
      </c>
      <c r="G2483" s="273" t="s">
        <v>147</v>
      </c>
      <c r="H2483" s="273">
        <v>12</v>
      </c>
      <c r="I2483" s="273">
        <v>100</v>
      </c>
      <c r="J2483" s="274">
        <f>0.5*I2483</f>
        <v>50</v>
      </c>
    </row>
    <row r="2484" spans="1:20" ht="18" customHeight="1" x14ac:dyDescent="0.35">
      <c r="A2484" s="274">
        <f>MATCH(B2484,STUDIES!$A$3:$A$502,0)</f>
        <v>109</v>
      </c>
      <c r="B2484" s="86" t="s">
        <v>2160</v>
      </c>
      <c r="D2484" s="232" t="s">
        <v>1089</v>
      </c>
      <c r="E2484" s="272" t="s">
        <v>1243</v>
      </c>
      <c r="F2484" s="155" t="str">
        <f>_xlfn.XLOOKUP(B2484,STUDIES!$A$3:$A$1063,STUDIES!$G$3:$G$1063,"Not Found!")</f>
        <v>A</v>
      </c>
      <c r="G2484" s="273" t="s">
        <v>147</v>
      </c>
      <c r="H2484" s="273">
        <v>12</v>
      </c>
      <c r="I2484" s="273">
        <v>99</v>
      </c>
      <c r="J2484" s="274">
        <f>0.717*I2484</f>
        <v>70.983000000000004</v>
      </c>
    </row>
    <row r="2485" spans="1:20" ht="18" customHeight="1" x14ac:dyDescent="0.35">
      <c r="A2485" s="274">
        <f>MATCH(B2485,STUDIES!$A$3:$A$502,0)</f>
        <v>109</v>
      </c>
      <c r="B2485" s="86" t="s">
        <v>2160</v>
      </c>
      <c r="D2485" s="232" t="s">
        <v>1088</v>
      </c>
      <c r="E2485" s="272" t="s">
        <v>1243</v>
      </c>
      <c r="F2485" s="155" t="str">
        <f>_xlfn.XLOOKUP(B2485,STUDIES!$A$3:$A$1063,STUDIES!$G$3:$G$1063,"Not Found!")</f>
        <v>A</v>
      </c>
      <c r="G2485" s="273" t="s">
        <v>147</v>
      </c>
      <c r="H2485" s="273">
        <v>12</v>
      </c>
      <c r="I2485" s="273">
        <v>100</v>
      </c>
      <c r="J2485" s="274">
        <f>0.69*I2485</f>
        <v>69</v>
      </c>
    </row>
    <row r="2486" spans="1:20" ht="18" customHeight="1" x14ac:dyDescent="0.35">
      <c r="A2486" s="274">
        <f>MATCH(B2486,STUDIES!$A$3:$A$502,0)</f>
        <v>109</v>
      </c>
      <c r="B2486" s="86" t="s">
        <v>2160</v>
      </c>
      <c r="D2486" s="232" t="s">
        <v>1089</v>
      </c>
      <c r="E2486" s="272" t="s">
        <v>153</v>
      </c>
      <c r="F2486" s="155" t="str">
        <f>_xlfn.XLOOKUP(B2486,STUDIES!$A$3:$A$1063,STUDIES!$G$3:$G$1063,"Not Found!")</f>
        <v>A</v>
      </c>
      <c r="G2486" s="273" t="s">
        <v>147</v>
      </c>
      <c r="H2486" s="273">
        <v>12</v>
      </c>
      <c r="I2486" s="273">
        <v>92</v>
      </c>
      <c r="R2486" s="283">
        <v>-14.2</v>
      </c>
      <c r="T2486" s="268">
        <v>5.88</v>
      </c>
    </row>
    <row r="2487" spans="1:20" ht="18" customHeight="1" x14ac:dyDescent="0.35">
      <c r="A2487" s="274">
        <f>MATCH(B2487,STUDIES!$A$3:$A$502,0)</f>
        <v>109</v>
      </c>
      <c r="B2487" s="86" t="s">
        <v>2160</v>
      </c>
      <c r="D2487" s="232" t="s">
        <v>1088</v>
      </c>
      <c r="E2487" s="272" t="s">
        <v>153</v>
      </c>
      <c r="F2487" s="155" t="str">
        <f>_xlfn.XLOOKUP(B2487,STUDIES!$A$3:$A$1063,STUDIES!$G$3:$G$1063,"Not Found!")</f>
        <v>A</v>
      </c>
      <c r="G2487" s="273" t="s">
        <v>147</v>
      </c>
      <c r="H2487" s="273">
        <v>12</v>
      </c>
      <c r="I2487" s="273">
        <v>93</v>
      </c>
      <c r="R2487" s="283">
        <v>-12.4</v>
      </c>
      <c r="T2487" s="268">
        <v>6.02</v>
      </c>
    </row>
    <row r="2488" spans="1:20" ht="18" customHeight="1" x14ac:dyDescent="0.35">
      <c r="A2488" s="274">
        <f>MATCH(B2488,STUDIES!$A$3:$A$502,0)</f>
        <v>109</v>
      </c>
      <c r="B2488" s="86" t="s">
        <v>2160</v>
      </c>
      <c r="D2488" s="232" t="s">
        <v>1089</v>
      </c>
      <c r="E2488" s="272" t="s">
        <v>1167</v>
      </c>
      <c r="F2488" s="155" t="str">
        <f>_xlfn.XLOOKUP(B2488,STUDIES!$A$3:$A$1063,STUDIES!$G$3:$G$1063,"Not Found!")</f>
        <v>A</v>
      </c>
      <c r="G2488" s="273" t="s">
        <v>147</v>
      </c>
      <c r="H2488" s="273">
        <v>12</v>
      </c>
      <c r="I2488" s="273">
        <v>99</v>
      </c>
      <c r="J2488" s="274">
        <v>1</v>
      </c>
    </row>
    <row r="2489" spans="1:20" ht="18" customHeight="1" x14ac:dyDescent="0.35">
      <c r="A2489" s="274">
        <f>MATCH(B2489,STUDIES!$A$3:$A$502,0)</f>
        <v>109</v>
      </c>
      <c r="B2489" s="86" t="s">
        <v>2160</v>
      </c>
      <c r="D2489" s="232" t="s">
        <v>1088</v>
      </c>
      <c r="E2489" s="272" t="s">
        <v>1167</v>
      </c>
      <c r="F2489" s="155" t="str">
        <f>_xlfn.XLOOKUP(B2489,STUDIES!$A$3:$A$1063,STUDIES!$G$3:$G$1063,"Not Found!")</f>
        <v>A</v>
      </c>
      <c r="G2489" s="273" t="s">
        <v>147</v>
      </c>
      <c r="H2489" s="273">
        <v>12</v>
      </c>
      <c r="I2489" s="273">
        <v>101</v>
      </c>
      <c r="J2489" s="274">
        <v>0</v>
      </c>
    </row>
    <row r="2490" spans="1:20" ht="18" customHeight="1" x14ac:dyDescent="0.35">
      <c r="A2490" s="274">
        <f>MATCH(B2490,STUDIES!$A$3:$A$502,0)</f>
        <v>110</v>
      </c>
      <c r="B2490" s="272" t="s">
        <v>2170</v>
      </c>
      <c r="D2490" s="281" t="s">
        <v>1082</v>
      </c>
      <c r="E2490" s="272" t="s">
        <v>1268</v>
      </c>
      <c r="F2490" s="155" t="str">
        <f>_xlfn.XLOOKUP(B2490,STUDIES!$A$3:$A$1063,STUDIES!$G$3:$G$1063,"Not Found!")</f>
        <v>A</v>
      </c>
      <c r="G2490" s="273" t="s">
        <v>147</v>
      </c>
      <c r="H2490" s="273">
        <v>16</v>
      </c>
      <c r="I2490" s="273">
        <v>620</v>
      </c>
      <c r="J2490" s="274">
        <v>221</v>
      </c>
    </row>
    <row r="2491" spans="1:20" ht="18" customHeight="1" x14ac:dyDescent="0.35">
      <c r="A2491" s="274">
        <f>MATCH(B2491,STUDIES!$A$3:$A$502,0)</f>
        <v>110</v>
      </c>
      <c r="B2491" s="272" t="s">
        <v>2170</v>
      </c>
      <c r="D2491" s="281" t="s">
        <v>148</v>
      </c>
      <c r="E2491" s="272" t="s">
        <v>1268</v>
      </c>
      <c r="F2491" s="155" t="str">
        <f>_xlfn.XLOOKUP(B2491,STUDIES!$A$3:$A$1063,STUDIES!$G$3:$G$1063,"Not Found!")</f>
        <v>A</v>
      </c>
      <c r="G2491" s="273" t="s">
        <v>147</v>
      </c>
      <c r="H2491" s="273">
        <v>16</v>
      </c>
      <c r="I2491" s="273">
        <v>321</v>
      </c>
      <c r="J2491" s="274">
        <v>79</v>
      </c>
    </row>
    <row r="2492" spans="1:20" ht="18" customHeight="1" x14ac:dyDescent="0.35">
      <c r="A2492" s="274">
        <f>MATCH(B2492,STUDIES!$A$3:$A$502,0)</f>
        <v>110</v>
      </c>
      <c r="B2492" s="272" t="s">
        <v>2170</v>
      </c>
      <c r="D2492" s="281" t="s">
        <v>1082</v>
      </c>
      <c r="E2492" s="272" t="s">
        <v>1243</v>
      </c>
      <c r="F2492" s="155" t="str">
        <f>_xlfn.XLOOKUP(B2492,STUDIES!$A$3:$A$1063,STUDIES!$G$3:$G$1063,"Not Found!")</f>
        <v>A</v>
      </c>
      <c r="G2492" s="273" t="s">
        <v>147</v>
      </c>
      <c r="H2492" s="273">
        <v>16</v>
      </c>
      <c r="I2492" s="273">
        <v>620</v>
      </c>
      <c r="J2492" s="274">
        <v>270</v>
      </c>
    </row>
    <row r="2493" spans="1:20" ht="18" customHeight="1" x14ac:dyDescent="0.35">
      <c r="A2493" s="274">
        <f>MATCH(B2493,STUDIES!$A$3:$A$502,0)</f>
        <v>110</v>
      </c>
      <c r="B2493" s="272" t="s">
        <v>2170</v>
      </c>
      <c r="D2493" s="281" t="s">
        <v>148</v>
      </c>
      <c r="E2493" s="272" t="s">
        <v>1243</v>
      </c>
      <c r="F2493" s="155" t="str">
        <f>_xlfn.XLOOKUP(B2493,STUDIES!$A$3:$A$1063,STUDIES!$G$3:$G$1063,"Not Found!")</f>
        <v>A</v>
      </c>
      <c r="G2493" s="273" t="s">
        <v>147</v>
      </c>
      <c r="H2493" s="273">
        <v>16</v>
      </c>
      <c r="I2493" s="273">
        <v>321</v>
      </c>
      <c r="J2493" s="274">
        <v>93</v>
      </c>
    </row>
    <row r="2494" spans="1:20" ht="18" customHeight="1" x14ac:dyDescent="0.35">
      <c r="A2494" s="274">
        <f>MATCH(B2494,STUDIES!$A$3:$A$502,0)</f>
        <v>110</v>
      </c>
      <c r="B2494" s="272" t="s">
        <v>2170</v>
      </c>
      <c r="D2494" s="281" t="s">
        <v>1082</v>
      </c>
      <c r="E2494" s="272" t="s">
        <v>1163</v>
      </c>
      <c r="F2494" s="155" t="str">
        <f>_xlfn.XLOOKUP(B2494,STUDIES!$A$3:$A$1063,STUDIES!$G$3:$G$1063,"Not Found!")</f>
        <v>A</v>
      </c>
      <c r="G2494" s="273" t="s">
        <v>147</v>
      </c>
      <c r="H2494" s="273">
        <v>16</v>
      </c>
      <c r="I2494" s="273">
        <v>616</v>
      </c>
      <c r="J2494" s="274">
        <v>6</v>
      </c>
    </row>
    <row r="2495" spans="1:20" ht="18" customHeight="1" x14ac:dyDescent="0.35">
      <c r="A2495" s="274">
        <f>MATCH(B2495,STUDIES!$A$3:$A$502,0)</f>
        <v>110</v>
      </c>
      <c r="B2495" s="272" t="s">
        <v>2170</v>
      </c>
      <c r="D2495" s="281" t="s">
        <v>148</v>
      </c>
      <c r="E2495" s="272" t="s">
        <v>1163</v>
      </c>
      <c r="F2495" s="155" t="str">
        <f>_xlfn.XLOOKUP(B2495,STUDIES!$A$3:$A$1063,STUDIES!$G$3:$G$1063,"Not Found!")</f>
        <v>A</v>
      </c>
      <c r="G2495" s="273" t="s">
        <v>147</v>
      </c>
      <c r="H2495" s="273">
        <v>16</v>
      </c>
      <c r="I2495" s="273">
        <v>321</v>
      </c>
      <c r="J2495" s="274">
        <v>4</v>
      </c>
    </row>
    <row r="2496" spans="1:20" ht="18" customHeight="1" x14ac:dyDescent="0.35">
      <c r="A2496" s="274">
        <f>MATCH(B2496,STUDIES!$A$3:$A$502,0)</f>
        <v>110</v>
      </c>
      <c r="B2496" s="272" t="s">
        <v>2170</v>
      </c>
      <c r="D2496" s="281" t="s">
        <v>1082</v>
      </c>
      <c r="E2496" s="272" t="s">
        <v>1167</v>
      </c>
      <c r="F2496" s="155" t="str">
        <f>_xlfn.XLOOKUP(B2496,STUDIES!$A$3:$A$1063,STUDIES!$G$3:$G$1063,"Not Found!")</f>
        <v>A</v>
      </c>
      <c r="G2496" s="273" t="s">
        <v>147</v>
      </c>
      <c r="H2496" s="273">
        <v>16</v>
      </c>
      <c r="I2496" s="273">
        <v>616</v>
      </c>
      <c r="J2496" s="274">
        <v>9</v>
      </c>
    </row>
    <row r="2497" spans="1:19" ht="18" customHeight="1" x14ac:dyDescent="0.35">
      <c r="A2497" s="274">
        <f>MATCH(B2497,STUDIES!$A$3:$A$502,0)</f>
        <v>110</v>
      </c>
      <c r="B2497" s="272" t="s">
        <v>2170</v>
      </c>
      <c r="D2497" s="281" t="s">
        <v>148</v>
      </c>
      <c r="E2497" s="272" t="s">
        <v>1167</v>
      </c>
      <c r="F2497" s="155" t="str">
        <f>_xlfn.XLOOKUP(B2497,STUDIES!$A$3:$A$1063,STUDIES!$G$3:$G$1063,"Not Found!")</f>
        <v>A</v>
      </c>
      <c r="G2497" s="273" t="s">
        <v>147</v>
      </c>
      <c r="H2497" s="273">
        <v>16</v>
      </c>
      <c r="I2497" s="273">
        <v>321</v>
      </c>
      <c r="J2497" s="274">
        <v>9</v>
      </c>
    </row>
    <row r="2498" spans="1:19" ht="18" customHeight="1" x14ac:dyDescent="0.35">
      <c r="A2498" s="274">
        <f>MATCH(B2498,STUDIES!$A$3:$A$502,0)</f>
        <v>110</v>
      </c>
      <c r="B2498" s="272" t="s">
        <v>2170</v>
      </c>
      <c r="D2498" s="281" t="s">
        <v>1082</v>
      </c>
      <c r="E2498" s="272" t="s">
        <v>151</v>
      </c>
      <c r="F2498" s="155" t="str">
        <f>_xlfn.XLOOKUP(B2498,STUDIES!$A$3:$A$1063,STUDIES!$G$3:$G$1063,"Not Found!")</f>
        <v>A</v>
      </c>
      <c r="G2498" s="273" t="s">
        <v>147</v>
      </c>
      <c r="H2498" s="273">
        <v>16</v>
      </c>
      <c r="I2498" s="273">
        <v>620</v>
      </c>
      <c r="R2498" s="283">
        <v>-12.4</v>
      </c>
      <c r="S2498" s="268">
        <v>0.8</v>
      </c>
    </row>
    <row r="2499" spans="1:19" ht="18" customHeight="1" x14ac:dyDescent="0.35">
      <c r="A2499" s="274">
        <f>MATCH(B2499,STUDIES!$A$3:$A$502,0)</f>
        <v>110</v>
      </c>
      <c r="B2499" s="272" t="s">
        <v>2170</v>
      </c>
      <c r="D2499" s="281" t="s">
        <v>148</v>
      </c>
      <c r="E2499" s="272" t="s">
        <v>151</v>
      </c>
      <c r="F2499" s="155" t="str">
        <f>_xlfn.XLOOKUP(B2499,STUDIES!$A$3:$A$1063,STUDIES!$G$3:$G$1063,"Not Found!")</f>
        <v>A</v>
      </c>
      <c r="G2499" s="273" t="s">
        <v>147</v>
      </c>
      <c r="H2499" s="273">
        <v>16</v>
      </c>
      <c r="I2499" s="273">
        <v>321</v>
      </c>
      <c r="R2499" s="283">
        <v>-8.6999999999999993</v>
      </c>
      <c r="S2499" s="268">
        <v>1.1000000000000001</v>
      </c>
    </row>
    <row r="2500" spans="1:19" ht="18" customHeight="1" x14ac:dyDescent="0.35">
      <c r="A2500" s="274">
        <f>MATCH(B2500,STUDIES!$A$3:$A$502,0)</f>
        <v>110</v>
      </c>
      <c r="B2500" s="272" t="s">
        <v>2170</v>
      </c>
      <c r="D2500" s="281" t="s">
        <v>1082</v>
      </c>
      <c r="E2500" s="272" t="s">
        <v>1258</v>
      </c>
      <c r="F2500" s="155" t="str">
        <f>_xlfn.XLOOKUP(B2500,STUDIES!$A$3:$A$1063,STUDIES!$G$3:$G$1063,"Not Found!")</f>
        <v>A</v>
      </c>
      <c r="G2500" s="273" t="s">
        <v>147</v>
      </c>
      <c r="H2500" s="273">
        <v>16</v>
      </c>
      <c r="I2500" s="273">
        <v>620</v>
      </c>
      <c r="J2500" s="274">
        <f>0.598*I2500</f>
        <v>370.76</v>
      </c>
    </row>
    <row r="2501" spans="1:19" ht="18" customHeight="1" x14ac:dyDescent="0.35">
      <c r="A2501" s="274">
        <f>MATCH(B2501,STUDIES!$A$3:$A$502,0)</f>
        <v>110</v>
      </c>
      <c r="B2501" s="272" t="s">
        <v>2170</v>
      </c>
      <c r="D2501" s="281" t="s">
        <v>148</v>
      </c>
      <c r="E2501" s="272" t="s">
        <v>1258</v>
      </c>
      <c r="F2501" s="155" t="str">
        <f>_xlfn.XLOOKUP(B2501,STUDIES!$A$3:$A$1063,STUDIES!$G$3:$G$1063,"Not Found!")</f>
        <v>A</v>
      </c>
      <c r="G2501" s="273" t="s">
        <v>147</v>
      </c>
      <c r="H2501" s="273">
        <v>16</v>
      </c>
      <c r="I2501" s="273">
        <v>321</v>
      </c>
      <c r="J2501" s="274">
        <f>0.483*I2501</f>
        <v>155.04300000000001</v>
      </c>
    </row>
    <row r="2502" spans="1:19" ht="18" customHeight="1" x14ac:dyDescent="0.35">
      <c r="A2502" s="274">
        <f>MATCH(B2502,STUDIES!$A$3:$A$502,0)</f>
        <v>110</v>
      </c>
      <c r="B2502" s="272" t="s">
        <v>2170</v>
      </c>
      <c r="D2502" s="281" t="s">
        <v>1082</v>
      </c>
      <c r="E2502" s="272" t="s">
        <v>1244</v>
      </c>
      <c r="F2502" s="155" t="str">
        <f>_xlfn.XLOOKUP(B2502,STUDIES!$A$3:$A$1063,STUDIES!$G$3:$G$1063,"Not Found!")</f>
        <v>A</v>
      </c>
      <c r="G2502" s="273" t="s">
        <v>147</v>
      </c>
      <c r="H2502" s="273">
        <v>16</v>
      </c>
      <c r="I2502" s="273">
        <v>620</v>
      </c>
      <c r="J2502" s="274">
        <f>0.235*I2502</f>
        <v>145.69999999999999</v>
      </c>
    </row>
    <row r="2503" spans="1:19" ht="18" customHeight="1" x14ac:dyDescent="0.35">
      <c r="A2503" s="274">
        <f>MATCH(B2503,STUDIES!$A$3:$A$502,0)</f>
        <v>110</v>
      </c>
      <c r="B2503" s="272" t="s">
        <v>2170</v>
      </c>
      <c r="D2503" s="281" t="s">
        <v>148</v>
      </c>
      <c r="E2503" s="272" t="s">
        <v>1244</v>
      </c>
      <c r="F2503" s="155" t="str">
        <f>_xlfn.XLOOKUP(B2503,STUDIES!$A$3:$A$1063,STUDIES!$G$3:$G$1063,"Not Found!")</f>
        <v>A</v>
      </c>
      <c r="G2503" s="273" t="s">
        <v>147</v>
      </c>
      <c r="H2503" s="273">
        <v>16</v>
      </c>
      <c r="I2503" s="273">
        <v>321</v>
      </c>
      <c r="J2503" s="274">
        <f>0.15*I2503</f>
        <v>48.15</v>
      </c>
    </row>
    <row r="2504" spans="1:19" ht="18" customHeight="1" x14ac:dyDescent="0.35">
      <c r="A2504" s="274">
        <f>MATCH(B2504,STUDIES!$A$3:$A$502,0)</f>
        <v>110</v>
      </c>
      <c r="B2504" s="272" t="s">
        <v>2170</v>
      </c>
      <c r="D2504" s="281" t="s">
        <v>1082</v>
      </c>
      <c r="E2504" s="272" t="s">
        <v>695</v>
      </c>
      <c r="F2504" s="155" t="str">
        <f>_xlfn.XLOOKUP(B2504,STUDIES!$A$3:$A$1063,STUDIES!$G$3:$G$1063,"Not Found!")</f>
        <v>A</v>
      </c>
      <c r="G2504" s="273" t="s">
        <v>147</v>
      </c>
      <c r="H2504" s="273">
        <v>16</v>
      </c>
      <c r="I2504" s="273">
        <v>620</v>
      </c>
      <c r="R2504" s="283">
        <v>-3.8</v>
      </c>
      <c r="S2504" s="268">
        <v>0.1</v>
      </c>
    </row>
    <row r="2505" spans="1:19" ht="18" customHeight="1" x14ac:dyDescent="0.35">
      <c r="A2505" s="274">
        <f>MATCH(B2505,STUDIES!$A$3:$A$502,0)</f>
        <v>110</v>
      </c>
      <c r="B2505" s="272" t="s">
        <v>2170</v>
      </c>
      <c r="D2505" s="281" t="s">
        <v>148</v>
      </c>
      <c r="E2505" s="272" t="s">
        <v>695</v>
      </c>
      <c r="F2505" s="155" t="str">
        <f>_xlfn.XLOOKUP(B2505,STUDIES!$A$3:$A$1063,STUDIES!$G$3:$G$1063,"Not Found!")</f>
        <v>A</v>
      </c>
      <c r="G2505" s="273" t="s">
        <v>147</v>
      </c>
      <c r="H2505" s="273">
        <v>16</v>
      </c>
      <c r="I2505" s="273">
        <v>321</v>
      </c>
      <c r="R2505" s="283">
        <v>-1.9</v>
      </c>
      <c r="S2505" s="268">
        <v>0.2</v>
      </c>
    </row>
    <row r="2506" spans="1:19" ht="18" customHeight="1" x14ac:dyDescent="0.35">
      <c r="A2506" s="274">
        <f>MATCH(B2506,STUDIES!$A$3:$A$502,0)</f>
        <v>110</v>
      </c>
      <c r="B2506" s="272" t="s">
        <v>2170</v>
      </c>
      <c r="D2506" s="281" t="s">
        <v>1082</v>
      </c>
      <c r="E2506" s="272" t="s">
        <v>154</v>
      </c>
      <c r="F2506" s="155" t="str">
        <f>_xlfn.XLOOKUP(B2506,STUDIES!$A$3:$A$1063,STUDIES!$G$3:$G$1063,"Not Found!")</f>
        <v>A</v>
      </c>
      <c r="G2506" s="273" t="s">
        <v>147</v>
      </c>
      <c r="H2506" s="273">
        <v>16</v>
      </c>
      <c r="I2506" s="273">
        <v>540</v>
      </c>
      <c r="R2506" s="283">
        <v>-7.8</v>
      </c>
      <c r="S2506" s="268">
        <v>0.4</v>
      </c>
    </row>
    <row r="2507" spans="1:19" ht="18" customHeight="1" x14ac:dyDescent="0.35">
      <c r="A2507" s="274">
        <f>MATCH(B2507,STUDIES!$A$3:$A$502,0)</f>
        <v>110</v>
      </c>
      <c r="B2507" s="272" t="s">
        <v>2170</v>
      </c>
      <c r="D2507" s="281" t="s">
        <v>148</v>
      </c>
      <c r="E2507" s="272" t="s">
        <v>154</v>
      </c>
      <c r="F2507" s="155" t="str">
        <f>_xlfn.XLOOKUP(B2507,STUDIES!$A$3:$A$1063,STUDIES!$G$3:$G$1063,"Not Found!")</f>
        <v>A</v>
      </c>
      <c r="G2507" s="273" t="s">
        <v>147</v>
      </c>
      <c r="H2507" s="273">
        <v>16</v>
      </c>
      <c r="I2507" s="273">
        <v>279</v>
      </c>
      <c r="R2507" s="283">
        <v>-5.3</v>
      </c>
      <c r="S2507" s="268">
        <v>0.5</v>
      </c>
    </row>
    <row r="2508" spans="1:19" ht="18" customHeight="1" x14ac:dyDescent="0.35">
      <c r="A2508" s="274">
        <f>MATCH(B2508,STUDIES!$A$3:$A$502,0)</f>
        <v>110</v>
      </c>
      <c r="B2508" s="272" t="s">
        <v>2170</v>
      </c>
      <c r="C2508" s="435">
        <v>1</v>
      </c>
      <c r="D2508" s="281" t="s">
        <v>1082</v>
      </c>
      <c r="E2508" s="272" t="s">
        <v>694</v>
      </c>
      <c r="F2508" s="155" t="s">
        <v>1642</v>
      </c>
      <c r="G2508" s="273" t="s">
        <v>147</v>
      </c>
      <c r="H2508" s="273">
        <v>16</v>
      </c>
      <c r="I2508" s="273">
        <v>71</v>
      </c>
      <c r="R2508" s="283">
        <v>-6.9</v>
      </c>
      <c r="S2508" s="268">
        <v>1.2</v>
      </c>
    </row>
    <row r="2509" spans="1:19" ht="18" customHeight="1" x14ac:dyDescent="0.35">
      <c r="A2509" s="274">
        <f>MATCH(B2509,STUDIES!$A$3:$A$502,0)</f>
        <v>110</v>
      </c>
      <c r="B2509" s="272" t="s">
        <v>2170</v>
      </c>
      <c r="C2509" s="435">
        <v>1</v>
      </c>
      <c r="D2509" s="281" t="s">
        <v>148</v>
      </c>
      <c r="E2509" s="272" t="s">
        <v>694</v>
      </c>
      <c r="F2509" s="155" t="s">
        <v>1642</v>
      </c>
      <c r="G2509" s="273" t="s">
        <v>147</v>
      </c>
      <c r="H2509" s="273">
        <v>16</v>
      </c>
      <c r="I2509" s="273">
        <v>37</v>
      </c>
      <c r="R2509" s="283">
        <v>-5.0999999999999996</v>
      </c>
      <c r="S2509" s="268">
        <v>1.3</v>
      </c>
    </row>
    <row r="2510" spans="1:19" ht="18" customHeight="1" x14ac:dyDescent="0.35">
      <c r="A2510" s="274">
        <f>MATCH(B2510,STUDIES!$A$3:$A$502,0)</f>
        <v>110</v>
      </c>
      <c r="B2510" s="272" t="s">
        <v>2170</v>
      </c>
      <c r="D2510" s="281" t="s">
        <v>1082</v>
      </c>
      <c r="E2510" s="272" t="s">
        <v>153</v>
      </c>
      <c r="F2510" s="155" t="str">
        <f>_xlfn.XLOOKUP(B2510,STUDIES!$A$3:$A$1063,STUDIES!$G$3:$G$1063,"Not Found!")</f>
        <v>A</v>
      </c>
      <c r="G2510" s="273" t="s">
        <v>147</v>
      </c>
      <c r="H2510" s="273">
        <v>16</v>
      </c>
      <c r="I2510" s="273">
        <v>612</v>
      </c>
      <c r="R2510" s="283">
        <v>-9</v>
      </c>
      <c r="S2510" s="268">
        <v>0.4</v>
      </c>
    </row>
    <row r="2511" spans="1:19" ht="18" customHeight="1" x14ac:dyDescent="0.35">
      <c r="A2511" s="274">
        <f>MATCH(B2511,STUDIES!$A$3:$A$502,0)</f>
        <v>110</v>
      </c>
      <c r="B2511" s="272" t="s">
        <v>2170</v>
      </c>
      <c r="D2511" s="281" t="s">
        <v>148</v>
      </c>
      <c r="E2511" s="272" t="s">
        <v>153</v>
      </c>
      <c r="F2511" s="155" t="str">
        <f>_xlfn.XLOOKUP(B2511,STUDIES!$A$3:$A$1063,STUDIES!$G$3:$G$1063,"Not Found!")</f>
        <v>A</v>
      </c>
      <c r="G2511" s="273" t="s">
        <v>147</v>
      </c>
      <c r="H2511" s="273">
        <v>16</v>
      </c>
      <c r="I2511" s="273">
        <v>316</v>
      </c>
      <c r="R2511" s="283">
        <v>-5</v>
      </c>
      <c r="S2511" s="268">
        <v>0.5</v>
      </c>
    </row>
    <row r="2512" spans="1:19" ht="18" customHeight="1" x14ac:dyDescent="0.35">
      <c r="A2512" s="274">
        <f>MATCH(B2512,STUDIES!$A$3:$A$502,0)</f>
        <v>111</v>
      </c>
      <c r="B2512" s="86" t="s">
        <v>2171</v>
      </c>
      <c r="D2512" s="281" t="s">
        <v>1082</v>
      </c>
      <c r="E2512" s="272" t="s">
        <v>1268</v>
      </c>
      <c r="F2512" s="155" t="str">
        <f>_xlfn.XLOOKUP(B2512,STUDIES!$A$3:$A$1063,STUDIES!$G$3:$G$1063,"Not Found!")</f>
        <v>A</v>
      </c>
      <c r="G2512" s="273" t="s">
        <v>147</v>
      </c>
      <c r="H2512" s="273">
        <v>16</v>
      </c>
      <c r="I2512" s="273">
        <v>522</v>
      </c>
      <c r="J2512" s="274">
        <v>197</v>
      </c>
    </row>
    <row r="2513" spans="1:19" ht="18" customHeight="1" x14ac:dyDescent="0.35">
      <c r="A2513" s="274">
        <f>MATCH(B2513,STUDIES!$A$3:$A$502,0)</f>
        <v>111</v>
      </c>
      <c r="B2513" s="86" t="s">
        <v>2171</v>
      </c>
      <c r="D2513" s="281" t="s">
        <v>148</v>
      </c>
      <c r="E2513" s="272" t="s">
        <v>1268</v>
      </c>
      <c r="F2513" s="155" t="str">
        <f>_xlfn.XLOOKUP(B2513,STUDIES!$A$3:$A$1063,STUDIES!$G$3:$G$1063,"Not Found!")</f>
        <v>A</v>
      </c>
      <c r="G2513" s="273" t="s">
        <v>147</v>
      </c>
      <c r="H2513" s="273">
        <v>16</v>
      </c>
      <c r="I2513" s="273">
        <v>265</v>
      </c>
      <c r="J2513" s="274">
        <v>69</v>
      </c>
    </row>
    <row r="2514" spans="1:19" ht="18" customHeight="1" x14ac:dyDescent="0.35">
      <c r="A2514" s="274">
        <f>MATCH(B2514,STUDIES!$A$3:$A$502,0)</f>
        <v>111</v>
      </c>
      <c r="B2514" s="86" t="s">
        <v>2171</v>
      </c>
      <c r="D2514" s="281" t="s">
        <v>1082</v>
      </c>
      <c r="E2514" s="272" t="s">
        <v>1243</v>
      </c>
      <c r="F2514" s="155" t="str">
        <f>_xlfn.XLOOKUP(B2514,STUDIES!$A$3:$A$1063,STUDIES!$G$3:$G$1063,"Not Found!")</f>
        <v>A</v>
      </c>
      <c r="G2514" s="273" t="s">
        <v>147</v>
      </c>
      <c r="H2514" s="273">
        <v>16</v>
      </c>
      <c r="I2514" s="273">
        <v>522</v>
      </c>
      <c r="J2514" s="274">
        <f>0.42*I2514</f>
        <v>219.23999999999998</v>
      </c>
    </row>
    <row r="2515" spans="1:19" ht="18" customHeight="1" x14ac:dyDescent="0.35">
      <c r="A2515" s="274">
        <f>MATCH(B2515,STUDIES!$A$3:$A$502,0)</f>
        <v>111</v>
      </c>
      <c r="B2515" s="86" t="s">
        <v>2171</v>
      </c>
      <c r="D2515" s="281" t="s">
        <v>148</v>
      </c>
      <c r="E2515" s="272" t="s">
        <v>1243</v>
      </c>
      <c r="F2515" s="155" t="str">
        <f>_xlfn.XLOOKUP(B2515,STUDIES!$A$3:$A$1063,STUDIES!$G$3:$G$1063,"Not Found!")</f>
        <v>A</v>
      </c>
      <c r="G2515" s="273" t="s">
        <v>147</v>
      </c>
      <c r="H2515" s="273">
        <v>16</v>
      </c>
      <c r="I2515" s="273">
        <v>265</v>
      </c>
      <c r="J2515" s="274">
        <f>0.3*I2515</f>
        <v>79.5</v>
      </c>
    </row>
    <row r="2516" spans="1:19" ht="18" customHeight="1" x14ac:dyDescent="0.35">
      <c r="A2516" s="274">
        <f>MATCH(B2516,STUDIES!$A$3:$A$502,0)</f>
        <v>111</v>
      </c>
      <c r="B2516" s="86" t="s">
        <v>2171</v>
      </c>
      <c r="D2516" s="281" t="s">
        <v>1082</v>
      </c>
      <c r="E2516" s="272" t="s">
        <v>1163</v>
      </c>
      <c r="F2516" s="155" t="str">
        <f>_xlfn.XLOOKUP(B2516,STUDIES!$A$3:$A$1063,STUDIES!$G$3:$G$1063,"Not Found!")</f>
        <v>A</v>
      </c>
      <c r="G2516" s="273" t="s">
        <v>147</v>
      </c>
      <c r="H2516" s="273">
        <v>16</v>
      </c>
      <c r="I2516" s="273">
        <v>519</v>
      </c>
      <c r="J2516" s="274">
        <v>13</v>
      </c>
    </row>
    <row r="2517" spans="1:19" ht="18" customHeight="1" x14ac:dyDescent="0.35">
      <c r="A2517" s="274">
        <f>MATCH(B2517,STUDIES!$A$3:$A$502,0)</f>
        <v>111</v>
      </c>
      <c r="B2517" s="86" t="s">
        <v>2171</v>
      </c>
      <c r="D2517" s="281" t="s">
        <v>148</v>
      </c>
      <c r="E2517" s="272" t="s">
        <v>1163</v>
      </c>
      <c r="F2517" s="155" t="str">
        <f>_xlfn.XLOOKUP(B2517,STUDIES!$A$3:$A$1063,STUDIES!$G$3:$G$1063,"Not Found!")</f>
        <v>A</v>
      </c>
      <c r="G2517" s="273" t="s">
        <v>147</v>
      </c>
      <c r="H2517" s="273">
        <v>16</v>
      </c>
      <c r="I2517" s="273">
        <v>263</v>
      </c>
      <c r="J2517" s="274">
        <v>3</v>
      </c>
    </row>
    <row r="2518" spans="1:19" ht="18" customHeight="1" x14ac:dyDescent="0.35">
      <c r="A2518" s="274">
        <f>MATCH(B2518,STUDIES!$A$3:$A$502,0)</f>
        <v>111</v>
      </c>
      <c r="B2518" s="86" t="s">
        <v>2171</v>
      </c>
      <c r="D2518" s="281" t="s">
        <v>1082</v>
      </c>
      <c r="E2518" s="272" t="s">
        <v>1167</v>
      </c>
      <c r="F2518" s="155" t="str">
        <f>_xlfn.XLOOKUP(B2518,STUDIES!$A$3:$A$1063,STUDIES!$G$3:$G$1063,"Not Found!")</f>
        <v>A</v>
      </c>
      <c r="G2518" s="273" t="s">
        <v>147</v>
      </c>
      <c r="H2518" s="273">
        <v>16</v>
      </c>
      <c r="I2518" s="273">
        <v>519</v>
      </c>
      <c r="J2518" s="274">
        <v>17</v>
      </c>
    </row>
    <row r="2519" spans="1:19" ht="18" customHeight="1" x14ac:dyDescent="0.35">
      <c r="A2519" s="274">
        <f>MATCH(B2519,STUDIES!$A$3:$A$502,0)</f>
        <v>111</v>
      </c>
      <c r="B2519" s="86" t="s">
        <v>2171</v>
      </c>
      <c r="D2519" s="281" t="s">
        <v>148</v>
      </c>
      <c r="E2519" s="272" t="s">
        <v>1167</v>
      </c>
      <c r="F2519" s="155" t="str">
        <f>_xlfn.XLOOKUP(B2519,STUDIES!$A$3:$A$1063,STUDIES!$G$3:$G$1063,"Not Found!")</f>
        <v>A</v>
      </c>
      <c r="G2519" s="273" t="s">
        <v>147</v>
      </c>
      <c r="H2519" s="273">
        <v>16</v>
      </c>
      <c r="I2519" s="273">
        <v>263</v>
      </c>
      <c r="J2519" s="274">
        <v>4</v>
      </c>
    </row>
    <row r="2520" spans="1:19" ht="18" customHeight="1" x14ac:dyDescent="0.35">
      <c r="A2520" s="274">
        <f>MATCH(B2520,STUDIES!$A$3:$A$502,0)</f>
        <v>111</v>
      </c>
      <c r="B2520" s="86" t="s">
        <v>2171</v>
      </c>
      <c r="D2520" s="281" t="s">
        <v>1082</v>
      </c>
      <c r="E2520" s="272" t="s">
        <v>151</v>
      </c>
      <c r="F2520" s="155" t="str">
        <f>_xlfn.XLOOKUP(B2520,STUDIES!$A$3:$A$1063,STUDIES!$G$3:$G$1063,"Not Found!")</f>
        <v>A</v>
      </c>
      <c r="G2520" s="273" t="s">
        <v>147</v>
      </c>
      <c r="H2520" s="273">
        <v>16</v>
      </c>
      <c r="I2520" s="273">
        <v>522</v>
      </c>
      <c r="R2520" s="283">
        <v>-13.2</v>
      </c>
      <c r="S2520" s="268">
        <v>0.7</v>
      </c>
    </row>
    <row r="2521" spans="1:19" ht="18" customHeight="1" x14ac:dyDescent="0.35">
      <c r="A2521" s="274">
        <f>MATCH(B2521,STUDIES!$A$3:$A$502,0)</f>
        <v>111</v>
      </c>
      <c r="B2521" s="86" t="s">
        <v>2171</v>
      </c>
      <c r="D2521" s="281" t="s">
        <v>148</v>
      </c>
      <c r="E2521" s="272" t="s">
        <v>151</v>
      </c>
      <c r="F2521" s="155" t="str">
        <f>_xlfn.XLOOKUP(B2521,STUDIES!$A$3:$A$1063,STUDIES!$G$3:$G$1063,"Not Found!")</f>
        <v>A</v>
      </c>
      <c r="G2521" s="273" t="s">
        <v>147</v>
      </c>
      <c r="H2521" s="273">
        <v>16</v>
      </c>
      <c r="I2521" s="273">
        <v>265</v>
      </c>
      <c r="R2521" s="283">
        <v>-9</v>
      </c>
      <c r="S2521" s="268">
        <v>1</v>
      </c>
    </row>
    <row r="2522" spans="1:19" ht="18" customHeight="1" x14ac:dyDescent="0.35">
      <c r="A2522" s="274">
        <f>MATCH(B2522,STUDIES!$A$3:$A$502,0)</f>
        <v>111</v>
      </c>
      <c r="B2522" s="86" t="s">
        <v>2171</v>
      </c>
      <c r="D2522" s="281" t="s">
        <v>1082</v>
      </c>
      <c r="E2522" s="272" t="s">
        <v>1258</v>
      </c>
      <c r="F2522" s="155" t="str">
        <f>_xlfn.XLOOKUP(B2522,STUDIES!$A$3:$A$1063,STUDIES!$G$3:$G$1063,"Not Found!")</f>
        <v>A</v>
      </c>
      <c r="G2522" s="273" t="s">
        <v>147</v>
      </c>
      <c r="H2522" s="273">
        <v>16</v>
      </c>
      <c r="I2522" s="273">
        <v>522</v>
      </c>
      <c r="J2522" s="274">
        <f>0.619*I2522</f>
        <v>323.11799999999999</v>
      </c>
    </row>
    <row r="2523" spans="1:19" ht="18" customHeight="1" x14ac:dyDescent="0.35">
      <c r="A2523" s="274">
        <f>MATCH(B2523,STUDIES!$A$3:$A$502,0)</f>
        <v>111</v>
      </c>
      <c r="B2523" s="86" t="s">
        <v>2171</v>
      </c>
      <c r="D2523" s="281" t="s">
        <v>148</v>
      </c>
      <c r="E2523" s="272" t="s">
        <v>1258</v>
      </c>
      <c r="F2523" s="155" t="str">
        <f>_xlfn.XLOOKUP(B2523,STUDIES!$A$3:$A$1063,STUDIES!$G$3:$G$1063,"Not Found!")</f>
        <v>A</v>
      </c>
      <c r="G2523" s="273" t="s">
        <v>147</v>
      </c>
      <c r="H2523" s="273">
        <v>16</v>
      </c>
      <c r="I2523" s="273">
        <v>265</v>
      </c>
      <c r="J2523" s="274">
        <f>0.49*I2523</f>
        <v>129.85</v>
      </c>
    </row>
    <row r="2524" spans="1:19" ht="18" customHeight="1" x14ac:dyDescent="0.35">
      <c r="A2524" s="274">
        <f>MATCH(B2524,STUDIES!$A$3:$A$502,0)</f>
        <v>111</v>
      </c>
      <c r="B2524" s="86" t="s">
        <v>2171</v>
      </c>
      <c r="D2524" s="281" t="s">
        <v>1082</v>
      </c>
      <c r="E2524" s="272" t="s">
        <v>1244</v>
      </c>
      <c r="F2524" s="155" t="str">
        <f>_xlfn.XLOOKUP(B2524,STUDIES!$A$3:$A$1063,STUDIES!$G$3:$G$1063,"Not Found!")</f>
        <v>A</v>
      </c>
      <c r="G2524" s="273" t="s">
        <v>147</v>
      </c>
      <c r="H2524" s="273">
        <v>16</v>
      </c>
      <c r="I2524" s="273">
        <v>522</v>
      </c>
      <c r="J2524" s="274">
        <f>0.28*I2524</f>
        <v>146.16000000000003</v>
      </c>
    </row>
    <row r="2525" spans="1:19" ht="18" customHeight="1" x14ac:dyDescent="0.35">
      <c r="A2525" s="274">
        <f>MATCH(B2525,STUDIES!$A$3:$A$502,0)</f>
        <v>111</v>
      </c>
      <c r="B2525" s="86" t="s">
        <v>2171</v>
      </c>
      <c r="D2525" s="281" t="s">
        <v>148</v>
      </c>
      <c r="E2525" s="272" t="s">
        <v>1244</v>
      </c>
      <c r="F2525" s="155" t="str">
        <f>_xlfn.XLOOKUP(B2525,STUDIES!$A$3:$A$1063,STUDIES!$G$3:$G$1063,"Not Found!")</f>
        <v>A</v>
      </c>
      <c r="G2525" s="273" t="s">
        <v>147</v>
      </c>
      <c r="H2525" s="273">
        <v>16</v>
      </c>
      <c r="I2525" s="273">
        <v>265</v>
      </c>
      <c r="J2525" s="274">
        <f>0.208*I2525</f>
        <v>55.12</v>
      </c>
    </row>
    <row r="2526" spans="1:19" ht="18" customHeight="1" x14ac:dyDescent="0.35">
      <c r="A2526" s="274">
        <f>MATCH(B2526,STUDIES!$A$3:$A$502,0)</f>
        <v>111</v>
      </c>
      <c r="B2526" s="86" t="s">
        <v>2171</v>
      </c>
      <c r="D2526" s="281" t="s">
        <v>1082</v>
      </c>
      <c r="E2526" s="272" t="s">
        <v>695</v>
      </c>
      <c r="F2526" s="155" t="str">
        <f>_xlfn.XLOOKUP(B2526,STUDIES!$A$3:$A$1063,STUDIES!$G$3:$G$1063,"Not Found!")</f>
        <v>A</v>
      </c>
      <c r="G2526" s="273" t="s">
        <v>147</v>
      </c>
      <c r="H2526" s="273">
        <v>16</v>
      </c>
      <c r="I2526" s="273">
        <v>522</v>
      </c>
      <c r="R2526" s="283">
        <v>-3.7</v>
      </c>
      <c r="S2526" s="268">
        <v>0.1</v>
      </c>
    </row>
    <row r="2527" spans="1:19" ht="18" customHeight="1" x14ac:dyDescent="0.35">
      <c r="A2527" s="274">
        <f>MATCH(B2527,STUDIES!$A$3:$A$502,0)</f>
        <v>111</v>
      </c>
      <c r="B2527" s="86" t="s">
        <v>2171</v>
      </c>
      <c r="D2527" s="281" t="s">
        <v>148</v>
      </c>
      <c r="E2527" s="272" t="s">
        <v>695</v>
      </c>
      <c r="F2527" s="155" t="str">
        <f>_xlfn.XLOOKUP(B2527,STUDIES!$A$3:$A$1063,STUDIES!$G$3:$G$1063,"Not Found!")</f>
        <v>A</v>
      </c>
      <c r="G2527" s="273" t="s">
        <v>147</v>
      </c>
      <c r="H2527" s="273">
        <v>16</v>
      </c>
      <c r="I2527" s="273">
        <v>265</v>
      </c>
      <c r="R2527" s="283">
        <v>-2</v>
      </c>
      <c r="S2527" s="268">
        <v>0.2</v>
      </c>
    </row>
    <row r="2528" spans="1:19" ht="18" customHeight="1" x14ac:dyDescent="0.35">
      <c r="A2528" s="274">
        <f>MATCH(B2528,STUDIES!$A$3:$A$502,0)</f>
        <v>111</v>
      </c>
      <c r="B2528" s="86" t="s">
        <v>2171</v>
      </c>
      <c r="D2528" s="281" t="s">
        <v>1082</v>
      </c>
      <c r="E2528" s="272" t="s">
        <v>154</v>
      </c>
      <c r="F2528" s="155" t="str">
        <f>_xlfn.XLOOKUP(B2528,STUDIES!$A$3:$A$1063,STUDIES!$G$3:$G$1063,"Not Found!")</f>
        <v>A</v>
      </c>
      <c r="G2528" s="273" t="s">
        <v>147</v>
      </c>
      <c r="H2528" s="273">
        <v>16</v>
      </c>
      <c r="I2528" s="273">
        <v>440</v>
      </c>
      <c r="R2528" s="283">
        <v>-7</v>
      </c>
      <c r="S2528" s="268">
        <v>0.4</v>
      </c>
    </row>
    <row r="2529" spans="1:41" ht="18" customHeight="1" x14ac:dyDescent="0.35">
      <c r="A2529" s="274">
        <f>MATCH(B2529,STUDIES!$A$3:$A$502,0)</f>
        <v>111</v>
      </c>
      <c r="B2529" s="86" t="s">
        <v>2171</v>
      </c>
      <c r="D2529" s="281" t="s">
        <v>148</v>
      </c>
      <c r="E2529" s="272" t="s">
        <v>154</v>
      </c>
      <c r="F2529" s="155" t="str">
        <f>_xlfn.XLOOKUP(B2529,STUDIES!$A$3:$A$1063,STUDIES!$G$3:$G$1063,"Not Found!")</f>
        <v>A</v>
      </c>
      <c r="G2529" s="273" t="s">
        <v>147</v>
      </c>
      <c r="H2529" s="273">
        <v>16</v>
      </c>
      <c r="I2529" s="273">
        <v>228</v>
      </c>
      <c r="R2529" s="283">
        <v>-4.5</v>
      </c>
      <c r="S2529" s="268">
        <v>0.5</v>
      </c>
    </row>
    <row r="2530" spans="1:41" ht="18" customHeight="1" x14ac:dyDescent="0.35">
      <c r="A2530" s="274">
        <f>MATCH(B2530,STUDIES!$A$3:$A$502,0)</f>
        <v>111</v>
      </c>
      <c r="B2530" s="86" t="s">
        <v>2171</v>
      </c>
      <c r="C2530" s="435">
        <v>1</v>
      </c>
      <c r="D2530" s="281" t="s">
        <v>1082</v>
      </c>
      <c r="E2530" s="272" t="s">
        <v>694</v>
      </c>
      <c r="F2530" s="155" t="s">
        <v>1642</v>
      </c>
      <c r="G2530" s="273" t="s">
        <v>147</v>
      </c>
      <c r="H2530" s="273">
        <v>16</v>
      </c>
      <c r="I2530" s="273">
        <v>75</v>
      </c>
      <c r="R2530" s="283">
        <v>-7.4</v>
      </c>
      <c r="S2530" s="268">
        <v>0.8</v>
      </c>
    </row>
    <row r="2531" spans="1:41" ht="18" customHeight="1" x14ac:dyDescent="0.35">
      <c r="A2531" s="274">
        <f>MATCH(B2531,STUDIES!$A$3:$A$502,0)</f>
        <v>111</v>
      </c>
      <c r="B2531" s="86" t="s">
        <v>2171</v>
      </c>
      <c r="C2531" s="435">
        <v>1</v>
      </c>
      <c r="D2531" s="281" t="s">
        <v>148</v>
      </c>
      <c r="E2531" s="272" t="s">
        <v>694</v>
      </c>
      <c r="F2531" s="155" t="s">
        <v>1642</v>
      </c>
      <c r="G2531" s="273" t="s">
        <v>147</v>
      </c>
      <c r="H2531" s="273">
        <v>16</v>
      </c>
      <c r="I2531" s="273">
        <v>30</v>
      </c>
      <c r="R2531" s="283">
        <v>-5</v>
      </c>
      <c r="S2531" s="268">
        <v>1.3</v>
      </c>
    </row>
    <row r="2532" spans="1:41" ht="18" customHeight="1" x14ac:dyDescent="0.35">
      <c r="A2532" s="274">
        <f>MATCH(B2532,STUDIES!$A$3:$A$502,0)</f>
        <v>111</v>
      </c>
      <c r="B2532" s="86" t="s">
        <v>2171</v>
      </c>
      <c r="D2532" s="281" t="s">
        <v>1082</v>
      </c>
      <c r="E2532" s="272" t="s">
        <v>153</v>
      </c>
      <c r="F2532" s="155" t="str">
        <f>_xlfn.XLOOKUP(B2532,STUDIES!$A$3:$A$1063,STUDIES!$G$3:$G$1063,"Not Found!")</f>
        <v>A</v>
      </c>
      <c r="G2532" s="273" t="s">
        <v>147</v>
      </c>
      <c r="H2532" s="273">
        <v>16</v>
      </c>
      <c r="I2532" s="273">
        <v>515</v>
      </c>
      <c r="R2532" s="283">
        <v>-8.9</v>
      </c>
      <c r="S2532" s="268">
        <v>0.4</v>
      </c>
    </row>
    <row r="2533" spans="1:41" ht="18" customHeight="1" x14ac:dyDescent="0.35">
      <c r="A2533" s="274">
        <f>MATCH(B2533,STUDIES!$A$3:$A$502,0)</f>
        <v>111</v>
      </c>
      <c r="B2533" s="86" t="s">
        <v>2171</v>
      </c>
      <c r="D2533" s="281" t="s">
        <v>148</v>
      </c>
      <c r="E2533" s="272" t="s">
        <v>153</v>
      </c>
      <c r="F2533" s="155" t="str">
        <f>_xlfn.XLOOKUP(B2533,STUDIES!$A$3:$A$1063,STUDIES!$G$3:$G$1063,"Not Found!")</f>
        <v>A</v>
      </c>
      <c r="G2533" s="273" t="s">
        <v>147</v>
      </c>
      <c r="H2533" s="273">
        <v>16</v>
      </c>
      <c r="I2533" s="273">
        <v>259</v>
      </c>
      <c r="R2533" s="283">
        <v>-5</v>
      </c>
      <c r="S2533" s="268">
        <v>0.5</v>
      </c>
    </row>
    <row r="2534" spans="1:41" ht="18" customHeight="1" x14ac:dyDescent="0.35">
      <c r="A2534" s="274">
        <f>MATCH(B2534,STUDIES!$A$3:$A$502,0)</f>
        <v>74</v>
      </c>
      <c r="B2534" s="272" t="s">
        <v>1912</v>
      </c>
      <c r="D2534" s="281" t="s">
        <v>1422</v>
      </c>
      <c r="E2534" s="272" t="s">
        <v>151</v>
      </c>
      <c r="F2534" s="155" t="str">
        <f>_xlfn.XLOOKUP(B2534,STUDIES!$A$3:$A$1063,STUDIES!$G$3:$G$1063,"Not Found!")</f>
        <v>A</v>
      </c>
      <c r="G2534" s="273" t="s">
        <v>147</v>
      </c>
      <c r="H2534" s="273">
        <v>16</v>
      </c>
      <c r="I2534" s="273">
        <v>20</v>
      </c>
      <c r="K2534" s="268">
        <v>20.9</v>
      </c>
      <c r="M2534" s="268">
        <v>9.49</v>
      </c>
      <c r="AJ2534" s="276">
        <v>-60.4</v>
      </c>
      <c r="AM2534" s="268">
        <v>-71.900000000000006</v>
      </c>
      <c r="AN2534" s="268">
        <v>-48.9</v>
      </c>
      <c r="AO2534" s="275">
        <v>0.9</v>
      </c>
    </row>
    <row r="2535" spans="1:41" ht="18" customHeight="1" x14ac:dyDescent="0.35">
      <c r="A2535" s="274">
        <f>MATCH(B2535,STUDIES!$A$3:$A$502,0)</f>
        <v>74</v>
      </c>
      <c r="B2535" s="272" t="s">
        <v>1912</v>
      </c>
      <c r="D2535" s="281" t="s">
        <v>148</v>
      </c>
      <c r="E2535" s="272" t="s">
        <v>151</v>
      </c>
      <c r="F2535" s="155" t="str">
        <f>_xlfn.XLOOKUP(B2535,STUDIES!$A$3:$A$1063,STUDIES!$G$3:$G$1063,"Not Found!")</f>
        <v>A</v>
      </c>
      <c r="G2535" s="273" t="s">
        <v>147</v>
      </c>
      <c r="H2535" s="273">
        <v>16</v>
      </c>
      <c r="I2535" s="273">
        <v>8</v>
      </c>
      <c r="K2535" s="268">
        <v>27.1</v>
      </c>
      <c r="M2535" s="268">
        <v>17.47</v>
      </c>
      <c r="AJ2535" s="276">
        <v>-16.2</v>
      </c>
      <c r="AM2535" s="268">
        <v>-34.5</v>
      </c>
      <c r="AN2535" s="268">
        <v>2.1</v>
      </c>
      <c r="AO2535" s="275">
        <v>0.9</v>
      </c>
    </row>
    <row r="2536" spans="1:41" ht="18" customHeight="1" x14ac:dyDescent="0.35">
      <c r="A2536" s="274">
        <f>MATCH(B2536,STUDIES!$A$3:$A$502,0)</f>
        <v>74</v>
      </c>
      <c r="B2536" s="272" t="s">
        <v>1912</v>
      </c>
      <c r="D2536" s="281" t="s">
        <v>1422</v>
      </c>
      <c r="E2536" s="272" t="s">
        <v>1258</v>
      </c>
      <c r="F2536" s="155" t="str">
        <f>_xlfn.XLOOKUP(B2536,STUDIES!$A$3:$A$1063,STUDIES!$G$3:$G$1063,"Not Found!")</f>
        <v>A</v>
      </c>
      <c r="G2536" s="273" t="s">
        <v>147</v>
      </c>
      <c r="H2536" s="273">
        <v>16</v>
      </c>
      <c r="I2536" s="273">
        <v>20</v>
      </c>
      <c r="J2536" s="274">
        <v>8</v>
      </c>
    </row>
    <row r="2537" spans="1:41" ht="18" customHeight="1" x14ac:dyDescent="0.35">
      <c r="A2537" s="274">
        <f>MATCH(B2537,STUDIES!$A$3:$A$502,0)</f>
        <v>74</v>
      </c>
      <c r="B2537" s="272" t="s">
        <v>1912</v>
      </c>
      <c r="D2537" s="281" t="s">
        <v>148</v>
      </c>
      <c r="E2537" s="272" t="s">
        <v>1258</v>
      </c>
      <c r="F2537" s="155" t="str">
        <f>_xlfn.XLOOKUP(B2537,STUDIES!$A$3:$A$1063,STUDIES!$G$3:$G$1063,"Not Found!")</f>
        <v>A</v>
      </c>
      <c r="G2537" s="273" t="s">
        <v>147</v>
      </c>
      <c r="H2537" s="273">
        <v>16</v>
      </c>
      <c r="I2537" s="273">
        <v>8</v>
      </c>
      <c r="J2537" s="274">
        <v>1</v>
      </c>
    </row>
    <row r="2538" spans="1:41" ht="18" customHeight="1" x14ac:dyDescent="0.35">
      <c r="A2538" s="274">
        <f>MATCH(B2538,STUDIES!$A$3:$A$502,0)</f>
        <v>74</v>
      </c>
      <c r="B2538" s="272" t="s">
        <v>1912</v>
      </c>
      <c r="D2538" s="281" t="s">
        <v>1422</v>
      </c>
      <c r="E2538" s="272" t="s">
        <v>1243</v>
      </c>
      <c r="F2538" s="155" t="str">
        <f>_xlfn.XLOOKUP(B2538,STUDIES!$A$3:$A$1063,STUDIES!$G$3:$G$1063,"Not Found!")</f>
        <v>A</v>
      </c>
      <c r="G2538" s="273" t="s">
        <v>147</v>
      </c>
      <c r="H2538" s="273">
        <v>16</v>
      </c>
      <c r="I2538" s="273">
        <v>20</v>
      </c>
      <c r="J2538" s="274">
        <v>6</v>
      </c>
    </row>
    <row r="2539" spans="1:41" ht="18" customHeight="1" x14ac:dyDescent="0.35">
      <c r="A2539" s="274">
        <f>MATCH(B2539,STUDIES!$A$3:$A$502,0)</f>
        <v>74</v>
      </c>
      <c r="B2539" s="272" t="s">
        <v>1912</v>
      </c>
      <c r="D2539" s="281" t="s">
        <v>148</v>
      </c>
      <c r="E2539" s="272" t="s">
        <v>1243</v>
      </c>
      <c r="F2539" s="155" t="str">
        <f>_xlfn.XLOOKUP(B2539,STUDIES!$A$3:$A$1063,STUDIES!$G$3:$G$1063,"Not Found!")</f>
        <v>A</v>
      </c>
      <c r="G2539" s="273" t="s">
        <v>147</v>
      </c>
      <c r="H2539" s="273">
        <v>16</v>
      </c>
      <c r="I2539" s="273">
        <v>8</v>
      </c>
      <c r="J2539" s="274">
        <v>0</v>
      </c>
    </row>
    <row r="2540" spans="1:41" ht="18" customHeight="1" x14ac:dyDescent="0.35">
      <c r="A2540" s="274">
        <f>MATCH(B2540,STUDIES!$A$3:$A$502,0)</f>
        <v>74</v>
      </c>
      <c r="B2540" s="272" t="s">
        <v>1912</v>
      </c>
      <c r="D2540" s="281" t="s">
        <v>1422</v>
      </c>
      <c r="E2540" s="272" t="s">
        <v>1244</v>
      </c>
      <c r="F2540" s="155" t="str">
        <f>_xlfn.XLOOKUP(B2540,STUDIES!$A$3:$A$1063,STUDIES!$G$3:$G$1063,"Not Found!")</f>
        <v>A</v>
      </c>
      <c r="G2540" s="273" t="s">
        <v>147</v>
      </c>
      <c r="H2540" s="273">
        <v>16</v>
      </c>
      <c r="I2540" s="273">
        <v>20</v>
      </c>
      <c r="J2540" s="274">
        <v>4</v>
      </c>
    </row>
    <row r="2541" spans="1:41" ht="18" customHeight="1" x14ac:dyDescent="0.35">
      <c r="A2541" s="274">
        <f>MATCH(B2541,STUDIES!$A$3:$A$502,0)</f>
        <v>74</v>
      </c>
      <c r="B2541" s="272" t="s">
        <v>1912</v>
      </c>
      <c r="D2541" s="281" t="s">
        <v>148</v>
      </c>
      <c r="E2541" s="272" t="s">
        <v>1244</v>
      </c>
      <c r="F2541" s="155" t="str">
        <f>_xlfn.XLOOKUP(B2541,STUDIES!$A$3:$A$1063,STUDIES!$G$3:$G$1063,"Not Found!")</f>
        <v>A</v>
      </c>
      <c r="G2541" s="273" t="s">
        <v>147</v>
      </c>
      <c r="H2541" s="273">
        <v>16</v>
      </c>
      <c r="I2541" s="273">
        <v>8</v>
      </c>
      <c r="J2541" s="274">
        <v>0</v>
      </c>
    </row>
    <row r="2542" spans="1:41" ht="18" customHeight="1" x14ac:dyDescent="0.35">
      <c r="A2542" s="274">
        <f>MATCH(B2542,STUDIES!$A$3:$A$502,0)</f>
        <v>99</v>
      </c>
      <c r="B2542" s="86" t="s">
        <v>2182</v>
      </c>
      <c r="D2542" s="232" t="s">
        <v>148</v>
      </c>
      <c r="E2542" s="272" t="s">
        <v>151</v>
      </c>
      <c r="F2542" s="155" t="str">
        <f>_xlfn.XLOOKUP(B2542,STUDIES!$A$3:$A$1063,STUDIES!$G$3:$G$1063,"Not Found!")</f>
        <v>A</v>
      </c>
      <c r="G2542" s="273" t="s">
        <v>147</v>
      </c>
      <c r="H2542" s="273">
        <v>16</v>
      </c>
      <c r="I2542" s="273">
        <v>56</v>
      </c>
      <c r="K2542" s="268">
        <v>30</v>
      </c>
      <c r="M2542" s="268">
        <v>11.7</v>
      </c>
      <c r="AJ2542" s="276">
        <v>-62.7</v>
      </c>
      <c r="AK2542" s="268">
        <v>5.5</v>
      </c>
    </row>
    <row r="2543" spans="1:41" ht="18" customHeight="1" x14ac:dyDescent="0.35">
      <c r="A2543" s="274">
        <f>MATCH(B2543,STUDIES!$A$3:$A$502,0)</f>
        <v>99</v>
      </c>
      <c r="B2543" s="86" t="s">
        <v>2182</v>
      </c>
      <c r="D2543" s="232" t="s">
        <v>2186</v>
      </c>
      <c r="E2543" s="272" t="s">
        <v>151</v>
      </c>
      <c r="F2543" s="155" t="str">
        <f>_xlfn.XLOOKUP(B2543,STUDIES!$A$3:$A$1063,STUDIES!$G$3:$G$1063,"Not Found!")</f>
        <v>A</v>
      </c>
      <c r="G2543" s="273" t="s">
        <v>147</v>
      </c>
      <c r="H2543" s="273">
        <v>16</v>
      </c>
      <c r="I2543" s="273">
        <v>55</v>
      </c>
      <c r="K2543" s="268">
        <v>27.1</v>
      </c>
      <c r="M2543" s="268">
        <v>10.8</v>
      </c>
      <c r="AJ2543" s="276">
        <v>-78.900000000000006</v>
      </c>
      <c r="AK2543" s="268">
        <v>4.5</v>
      </c>
    </row>
    <row r="2544" spans="1:41" ht="18" customHeight="1" x14ac:dyDescent="0.35">
      <c r="A2544" s="274">
        <f>MATCH(B2544,STUDIES!$A$3:$A$502,0)</f>
        <v>99</v>
      </c>
      <c r="B2544" s="86" t="s">
        <v>2182</v>
      </c>
      <c r="D2544" s="232" t="s">
        <v>2187</v>
      </c>
      <c r="E2544" s="272" t="s">
        <v>151</v>
      </c>
      <c r="F2544" s="155" t="str">
        <f>_xlfn.XLOOKUP(B2544,STUDIES!$A$3:$A$1063,STUDIES!$G$3:$G$1063,"Not Found!")</f>
        <v>A</v>
      </c>
      <c r="G2544" s="273" t="s">
        <v>147</v>
      </c>
      <c r="H2544" s="273">
        <v>16</v>
      </c>
      <c r="I2544" s="273">
        <v>55</v>
      </c>
      <c r="K2544" s="268">
        <v>30.7</v>
      </c>
      <c r="M2544" s="268">
        <v>10.199999999999999</v>
      </c>
      <c r="AJ2544" s="276">
        <v>-76</v>
      </c>
      <c r="AK2544" s="268">
        <v>4.2</v>
      </c>
    </row>
    <row r="2545" spans="1:37" ht="18" customHeight="1" x14ac:dyDescent="0.35">
      <c r="A2545" s="274">
        <f>MATCH(B2545,STUDIES!$A$3:$A$502,0)</f>
        <v>99</v>
      </c>
      <c r="B2545" s="86" t="s">
        <v>2182</v>
      </c>
      <c r="D2545" s="232" t="s">
        <v>2188</v>
      </c>
      <c r="E2545" s="272" t="s">
        <v>151</v>
      </c>
      <c r="F2545" s="155" t="str">
        <f>_xlfn.XLOOKUP(B2545,STUDIES!$A$3:$A$1063,STUDIES!$G$3:$G$1063,"Not Found!")</f>
        <v>A</v>
      </c>
      <c r="G2545" s="273" t="s">
        <v>147</v>
      </c>
      <c r="H2545" s="273">
        <v>16</v>
      </c>
      <c r="I2545" s="273">
        <v>54</v>
      </c>
      <c r="K2545" s="268">
        <v>25.9</v>
      </c>
      <c r="M2545" s="268">
        <v>9.9</v>
      </c>
      <c r="AJ2545" s="276">
        <v>-84.4</v>
      </c>
      <c r="AK2545" s="268">
        <v>5.0999999999999996</v>
      </c>
    </row>
    <row r="2546" spans="1:37" ht="18" customHeight="1" x14ac:dyDescent="0.35">
      <c r="A2546" s="274">
        <f>MATCH(B2546,STUDIES!$A$3:$A$502,0)</f>
        <v>99</v>
      </c>
      <c r="B2546" s="86" t="s">
        <v>2182</v>
      </c>
      <c r="D2546" s="232" t="s">
        <v>148</v>
      </c>
      <c r="E2546" s="272" t="s">
        <v>695</v>
      </c>
      <c r="F2546" s="155" t="str">
        <f>_xlfn.XLOOKUP(B2546,STUDIES!$A$3:$A$1063,STUDIES!$G$3:$G$1063,"Not Found!")</f>
        <v>A</v>
      </c>
      <c r="G2546" s="273" t="s">
        <v>147</v>
      </c>
      <c r="H2546" s="273">
        <v>16</v>
      </c>
      <c r="I2546" s="273">
        <v>56</v>
      </c>
      <c r="K2546" s="268">
        <v>7.8</v>
      </c>
      <c r="M2546" s="268">
        <v>1.33</v>
      </c>
      <c r="AJ2546" s="276">
        <v>-33</v>
      </c>
      <c r="AK2546" s="268">
        <v>7.5</v>
      </c>
    </row>
    <row r="2547" spans="1:37" ht="18" customHeight="1" x14ac:dyDescent="0.35">
      <c r="A2547" s="274">
        <f>MATCH(B2547,STUDIES!$A$3:$A$502,0)</f>
        <v>99</v>
      </c>
      <c r="B2547" s="86" t="s">
        <v>2182</v>
      </c>
      <c r="D2547" s="232" t="s">
        <v>2186</v>
      </c>
      <c r="E2547" s="272" t="s">
        <v>695</v>
      </c>
      <c r="F2547" s="155" t="str">
        <f>_xlfn.XLOOKUP(B2547,STUDIES!$A$3:$A$1063,STUDIES!$G$3:$G$1063,"Not Found!")</f>
        <v>A</v>
      </c>
      <c r="G2547" s="273" t="s">
        <v>147</v>
      </c>
      <c r="H2547" s="273">
        <v>16</v>
      </c>
      <c r="I2547" s="273">
        <v>55</v>
      </c>
      <c r="K2547" s="268">
        <v>7.8</v>
      </c>
      <c r="M2547" s="268">
        <v>1.55</v>
      </c>
      <c r="AJ2547" s="276">
        <v>-49.3</v>
      </c>
      <c r="AK2547" s="268">
        <v>5.9</v>
      </c>
    </row>
    <row r="2548" spans="1:37" ht="18" customHeight="1" x14ac:dyDescent="0.35">
      <c r="A2548" s="274">
        <f>MATCH(B2548,STUDIES!$A$3:$A$502,0)</f>
        <v>99</v>
      </c>
      <c r="B2548" s="86" t="s">
        <v>2182</v>
      </c>
      <c r="D2548" s="232" t="s">
        <v>2187</v>
      </c>
      <c r="E2548" s="272" t="s">
        <v>695</v>
      </c>
      <c r="F2548" s="155" t="str">
        <f>_xlfn.XLOOKUP(B2548,STUDIES!$A$3:$A$1063,STUDIES!$G$3:$G$1063,"Not Found!")</f>
        <v>A</v>
      </c>
      <c r="G2548" s="273" t="s">
        <v>147</v>
      </c>
      <c r="H2548" s="273">
        <v>16</v>
      </c>
      <c r="I2548" s="273">
        <v>55</v>
      </c>
      <c r="K2548" s="268">
        <v>7.9</v>
      </c>
      <c r="M2548" s="268">
        <v>1.64</v>
      </c>
      <c r="AJ2548" s="276">
        <v>-46.2</v>
      </c>
      <c r="AK2548" s="268">
        <v>5.3</v>
      </c>
    </row>
    <row r="2549" spans="1:37" ht="18" customHeight="1" x14ac:dyDescent="0.35">
      <c r="A2549" s="274">
        <f>MATCH(B2549,STUDIES!$A$3:$A$502,0)</f>
        <v>99</v>
      </c>
      <c r="B2549" s="86" t="s">
        <v>2182</v>
      </c>
      <c r="D2549" s="232" t="s">
        <v>2188</v>
      </c>
      <c r="E2549" s="272" t="s">
        <v>695</v>
      </c>
      <c r="F2549" s="155" t="str">
        <f>_xlfn.XLOOKUP(B2549,STUDIES!$A$3:$A$1063,STUDIES!$G$3:$G$1063,"Not Found!")</f>
        <v>A</v>
      </c>
      <c r="G2549" s="273" t="s">
        <v>147</v>
      </c>
      <c r="H2549" s="273">
        <v>16</v>
      </c>
      <c r="I2549" s="273">
        <v>54</v>
      </c>
      <c r="K2549" s="268">
        <v>7.8</v>
      </c>
      <c r="M2549" s="268">
        <v>1.62</v>
      </c>
      <c r="AJ2549" s="276">
        <v>-55.5</v>
      </c>
      <c r="AK2549" s="268">
        <v>6.2</v>
      </c>
    </row>
    <row r="2550" spans="1:37" ht="18" customHeight="1" x14ac:dyDescent="0.35">
      <c r="A2550" s="274">
        <f>MATCH(B2550,STUDIES!$A$3:$A$502,0)</f>
        <v>90</v>
      </c>
      <c r="B2550" t="s">
        <v>2195</v>
      </c>
      <c r="C2550" s="456"/>
      <c r="D2550" t="s">
        <v>148</v>
      </c>
      <c r="E2550" s="272" t="s">
        <v>151</v>
      </c>
      <c r="F2550" s="155" t="str">
        <f>_xlfn.XLOOKUP(B2550,STUDIES!$A$3:$A$1063,STUDIES!$G$3:$G$1063,"Not Found!")</f>
        <v>A</v>
      </c>
      <c r="G2550" s="273" t="s">
        <v>147</v>
      </c>
      <c r="H2550" s="273">
        <v>16</v>
      </c>
      <c r="I2550" s="273">
        <v>122</v>
      </c>
      <c r="K2550" s="268">
        <v>26.1</v>
      </c>
      <c r="M2550" s="268">
        <v>12.8</v>
      </c>
      <c r="AJ2550" s="276">
        <v>-47.11</v>
      </c>
      <c r="AK2550" s="268">
        <v>4.3499999999999996</v>
      </c>
    </row>
    <row r="2551" spans="1:37" ht="18" customHeight="1" x14ac:dyDescent="0.35">
      <c r="A2551" s="274">
        <f>MATCH(B2551,STUDIES!$A$3:$A$502,0)</f>
        <v>90</v>
      </c>
      <c r="B2551" t="s">
        <v>2195</v>
      </c>
      <c r="C2551" s="456"/>
      <c r="D2551" t="s">
        <v>1073</v>
      </c>
      <c r="E2551" s="272" t="s">
        <v>151</v>
      </c>
      <c r="F2551" s="155" t="str">
        <f>_xlfn.XLOOKUP(B2551,STUDIES!$A$3:$A$1063,STUDIES!$G$3:$G$1063,"Not Found!")</f>
        <v>A</v>
      </c>
      <c r="G2551" s="273" t="s">
        <v>147</v>
      </c>
      <c r="H2551" s="273">
        <v>16</v>
      </c>
      <c r="I2551" s="273">
        <v>125</v>
      </c>
      <c r="K2551" s="268">
        <v>27.8</v>
      </c>
      <c r="M2551" s="268">
        <v>13.4</v>
      </c>
      <c r="AJ2551" s="276">
        <v>-72.510000000000005</v>
      </c>
      <c r="AK2551" s="268">
        <v>3.81</v>
      </c>
    </row>
    <row r="2552" spans="1:37" ht="18" customHeight="1" x14ac:dyDescent="0.35">
      <c r="A2552" s="274">
        <f>MATCH(B2552,STUDIES!$A$3:$A$502,0)</f>
        <v>90</v>
      </c>
      <c r="B2552" t="s">
        <v>2195</v>
      </c>
      <c r="D2552" t="s">
        <v>148</v>
      </c>
      <c r="E2552" s="272" t="s">
        <v>153</v>
      </c>
      <c r="F2552" s="155" t="str">
        <f>_xlfn.XLOOKUP(B2552,STUDIES!$A$3:$A$1063,STUDIES!$G$3:$G$1063,"Not Found!")</f>
        <v>A</v>
      </c>
      <c r="G2552" s="273" t="s">
        <v>147</v>
      </c>
      <c r="H2552" s="273">
        <v>16</v>
      </c>
      <c r="I2552" s="273">
        <v>122</v>
      </c>
      <c r="R2552" s="283">
        <v>-6.62</v>
      </c>
      <c r="S2552" s="268">
        <v>0.83</v>
      </c>
    </row>
    <row r="2553" spans="1:37" ht="18" customHeight="1" x14ac:dyDescent="0.35">
      <c r="A2553" s="274">
        <f>MATCH(B2553,STUDIES!$A$3:$A$502,0)</f>
        <v>90</v>
      </c>
      <c r="B2553" t="s">
        <v>2195</v>
      </c>
      <c r="D2553" t="s">
        <v>1073</v>
      </c>
      <c r="E2553" s="272" t="s">
        <v>153</v>
      </c>
      <c r="F2553" s="155" t="str">
        <f>_xlfn.XLOOKUP(B2553,STUDIES!$A$3:$A$1063,STUDIES!$G$3:$G$1063,"Not Found!")</f>
        <v>A</v>
      </c>
      <c r="G2553" s="273" t="s">
        <v>147</v>
      </c>
      <c r="H2553" s="273">
        <v>16</v>
      </c>
      <c r="I2553" s="273">
        <v>125</v>
      </c>
      <c r="R2553" s="283">
        <v>-9.4</v>
      </c>
      <c r="S2553" s="268">
        <v>0.78</v>
      </c>
    </row>
    <row r="2554" spans="1:37" ht="18" customHeight="1" x14ac:dyDescent="0.35">
      <c r="A2554" s="274">
        <f>MATCH(B2554,STUDIES!$A$3:$A$502,0)</f>
        <v>106</v>
      </c>
      <c r="B2554" s="116" t="s">
        <v>2120</v>
      </c>
      <c r="D2554" s="232" t="s">
        <v>2134</v>
      </c>
      <c r="E2554" s="272" t="s">
        <v>1268</v>
      </c>
      <c r="F2554" s="155" t="str">
        <f>_xlfn.XLOOKUP(B2554,STUDIES!$A$3:$A$1063,STUDIES!$G$3:$G$1063,"Not Found!")</f>
        <v>A</v>
      </c>
      <c r="G2554" s="273" t="s">
        <v>152</v>
      </c>
      <c r="H2554" s="273">
        <v>52</v>
      </c>
      <c r="I2554" s="273">
        <v>14</v>
      </c>
      <c r="J2554" s="274">
        <v>9</v>
      </c>
    </row>
    <row r="2555" spans="1:37" ht="18" customHeight="1" x14ac:dyDescent="0.35">
      <c r="A2555" s="274">
        <f>MATCH(B2555,STUDIES!$A$3:$A$502,0)</f>
        <v>106</v>
      </c>
      <c r="B2555" s="116" t="s">
        <v>2120</v>
      </c>
      <c r="D2555" s="232" t="s">
        <v>1056</v>
      </c>
      <c r="E2555" s="272" t="s">
        <v>1268</v>
      </c>
      <c r="F2555" s="155" t="str">
        <f>_xlfn.XLOOKUP(B2555,STUDIES!$A$3:$A$1063,STUDIES!$G$3:$G$1063,"Not Found!")</f>
        <v>A</v>
      </c>
      <c r="G2555" s="273" t="s">
        <v>152</v>
      </c>
      <c r="H2555" s="273">
        <v>52</v>
      </c>
      <c r="I2555" s="273">
        <v>14</v>
      </c>
      <c r="J2555" s="274">
        <v>11</v>
      </c>
    </row>
    <row r="2556" spans="1:37" ht="18" customHeight="1" x14ac:dyDescent="0.35">
      <c r="A2556" s="274">
        <f>MATCH(B2556,STUDIES!$A$3:$A$502,0)</f>
        <v>106</v>
      </c>
      <c r="B2556" s="116" t="s">
        <v>2120</v>
      </c>
      <c r="D2556" s="232" t="s">
        <v>2135</v>
      </c>
      <c r="E2556" s="272" t="s">
        <v>1268</v>
      </c>
      <c r="F2556" s="155" t="str">
        <f>_xlfn.XLOOKUP(B2556,STUDIES!$A$3:$A$1063,STUDIES!$G$3:$G$1063,"Not Found!")</f>
        <v>A</v>
      </c>
      <c r="G2556" s="273" t="s">
        <v>152</v>
      </c>
      <c r="H2556" s="273">
        <v>52</v>
      </c>
      <c r="I2556" s="273">
        <v>17</v>
      </c>
      <c r="J2556" s="274">
        <v>15</v>
      </c>
    </row>
    <row r="2557" spans="1:37" ht="18" customHeight="1" x14ac:dyDescent="0.35">
      <c r="A2557" s="274">
        <f>MATCH(B2557,STUDIES!$A$3:$A$502,0)</f>
        <v>106</v>
      </c>
      <c r="B2557" s="116" t="s">
        <v>2120</v>
      </c>
      <c r="D2557" s="387" t="s">
        <v>2137</v>
      </c>
      <c r="E2557" s="272" t="s">
        <v>1268</v>
      </c>
      <c r="F2557" s="155" t="str">
        <f>_xlfn.XLOOKUP(B2557,STUDIES!$A$3:$A$1063,STUDIES!$G$3:$G$1063,"Not Found!")</f>
        <v>A</v>
      </c>
      <c r="G2557" s="273" t="s">
        <v>152</v>
      </c>
      <c r="H2557" s="273">
        <v>52</v>
      </c>
      <c r="I2557" s="273">
        <v>13</v>
      </c>
      <c r="J2557" s="274">
        <v>7</v>
      </c>
    </row>
    <row r="2558" spans="1:37" ht="18" customHeight="1" x14ac:dyDescent="0.35">
      <c r="A2558" s="274">
        <f>MATCH(B2558,STUDIES!$A$3:$A$502,0)</f>
        <v>112</v>
      </c>
      <c r="B2558" s="86" t="s">
        <v>2202</v>
      </c>
      <c r="D2558" s="232" t="s">
        <v>2207</v>
      </c>
      <c r="E2558" s="272" t="s">
        <v>1243</v>
      </c>
      <c r="F2558" s="155" t="str">
        <f>_xlfn.XLOOKUP(B2558,STUDIES!$A$3:$A$1063,STUDIES!$G$3:$G$1063,"Not Found!")</f>
        <v>A</v>
      </c>
      <c r="G2558" s="273" t="s">
        <v>1836</v>
      </c>
      <c r="H2558" s="273">
        <v>12</v>
      </c>
      <c r="I2558" s="273">
        <v>47</v>
      </c>
      <c r="J2558" s="274">
        <f>0.323*I2558</f>
        <v>15.181000000000001</v>
      </c>
    </row>
    <row r="2559" spans="1:37" ht="18" customHeight="1" x14ac:dyDescent="0.35">
      <c r="A2559" s="274">
        <f>MATCH(B2559,STUDIES!$A$3:$A$502,0)</f>
        <v>112</v>
      </c>
      <c r="B2559" s="86" t="s">
        <v>2202</v>
      </c>
      <c r="D2559" s="281" t="s">
        <v>148</v>
      </c>
      <c r="E2559" s="272" t="s">
        <v>1243</v>
      </c>
      <c r="F2559" s="155" t="str">
        <f>_xlfn.XLOOKUP(B2559,STUDIES!$A$3:$A$1063,STUDIES!$G$3:$G$1063,"Not Found!")</f>
        <v>A</v>
      </c>
      <c r="G2559" s="273" t="s">
        <v>1836</v>
      </c>
      <c r="H2559" s="273">
        <v>12</v>
      </c>
      <c r="I2559" s="273">
        <v>22</v>
      </c>
      <c r="J2559" s="274">
        <f>0.374*I2559</f>
        <v>8.2279999999999998</v>
      </c>
    </row>
    <row r="2560" spans="1:37" ht="18" customHeight="1" x14ac:dyDescent="0.35">
      <c r="A2560" s="274">
        <f>MATCH(B2560,STUDIES!$A$3:$A$502,0)</f>
        <v>112</v>
      </c>
      <c r="B2560" s="86" t="s">
        <v>2202</v>
      </c>
      <c r="D2560" s="232" t="s">
        <v>2207</v>
      </c>
      <c r="E2560" s="272" t="s">
        <v>1258</v>
      </c>
      <c r="F2560" s="155" t="str">
        <f>_xlfn.XLOOKUP(B2560,STUDIES!$A$3:$A$1063,STUDIES!$G$3:$G$1063,"Not Found!")</f>
        <v>A</v>
      </c>
      <c r="G2560" s="273" t="s">
        <v>1836</v>
      </c>
      <c r="H2560" s="273">
        <v>12</v>
      </c>
      <c r="I2560" s="273">
        <v>47</v>
      </c>
      <c r="J2560" s="274">
        <f>I2560*0.527</f>
        <v>24.769000000000002</v>
      </c>
    </row>
    <row r="2561" spans="1:47" ht="18" customHeight="1" x14ac:dyDescent="0.35">
      <c r="A2561" s="274">
        <f>MATCH(B2561,STUDIES!$A$3:$A$502,0)</f>
        <v>112</v>
      </c>
      <c r="B2561" s="86" t="s">
        <v>2202</v>
      </c>
      <c r="D2561" s="281" t="s">
        <v>148</v>
      </c>
      <c r="E2561" s="272" t="s">
        <v>1258</v>
      </c>
      <c r="F2561" s="155" t="str">
        <f>_xlfn.XLOOKUP(B2561,STUDIES!$A$3:$A$1063,STUDIES!$G$3:$G$1063,"Not Found!")</f>
        <v>A</v>
      </c>
      <c r="G2561" s="273" t="s">
        <v>1836</v>
      </c>
      <c r="H2561" s="273">
        <v>12</v>
      </c>
      <c r="I2561" s="273">
        <v>22</v>
      </c>
      <c r="J2561" s="274">
        <f>I2561*0.554</f>
        <v>12.188000000000001</v>
      </c>
    </row>
    <row r="2562" spans="1:47" ht="18" customHeight="1" x14ac:dyDescent="0.35">
      <c r="A2562" s="274">
        <f>MATCH(B2562,STUDIES!$A$3:$A$502,0)</f>
        <v>112</v>
      </c>
      <c r="B2562" s="86" t="s">
        <v>2202</v>
      </c>
      <c r="D2562" s="232" t="s">
        <v>2207</v>
      </c>
      <c r="E2562" s="272" t="s">
        <v>1244</v>
      </c>
      <c r="F2562" s="155" t="str">
        <f>_xlfn.XLOOKUP(B2562,STUDIES!$A$3:$A$1063,STUDIES!$G$3:$G$1063,"Not Found!")</f>
        <v>A</v>
      </c>
      <c r="G2562" s="273" t="s">
        <v>1836</v>
      </c>
      <c r="H2562" s="273">
        <v>12</v>
      </c>
      <c r="I2562" s="273">
        <v>47</v>
      </c>
      <c r="J2562" s="274">
        <f>I2562*0.156</f>
        <v>7.3319999999999999</v>
      </c>
    </row>
    <row r="2563" spans="1:47" ht="18" customHeight="1" x14ac:dyDescent="0.35">
      <c r="A2563" s="274">
        <f>MATCH(B2563,STUDIES!$A$3:$A$502,0)</f>
        <v>112</v>
      </c>
      <c r="B2563" s="86" t="s">
        <v>2202</v>
      </c>
      <c r="D2563" s="281" t="s">
        <v>148</v>
      </c>
      <c r="E2563" s="272" t="s">
        <v>1244</v>
      </c>
      <c r="F2563" s="155" t="str">
        <f>_xlfn.XLOOKUP(B2563,STUDIES!$A$3:$A$1063,STUDIES!$G$3:$G$1063,"Not Found!")</f>
        <v>A</v>
      </c>
      <c r="G2563" s="273" t="s">
        <v>1836</v>
      </c>
      <c r="H2563" s="273">
        <v>12</v>
      </c>
      <c r="I2563" s="273">
        <v>22</v>
      </c>
      <c r="J2563" s="274">
        <f>I2563*0.204</f>
        <v>4.4879999999999995</v>
      </c>
    </row>
    <row r="2564" spans="1:47" ht="18" customHeight="1" x14ac:dyDescent="0.35">
      <c r="A2564" s="274">
        <f>MATCH(B2564,STUDIES!$A$3:$A$502,0)</f>
        <v>112</v>
      </c>
      <c r="B2564" s="86" t="s">
        <v>2202</v>
      </c>
      <c r="D2564" s="232" t="s">
        <v>2207</v>
      </c>
      <c r="E2564" s="272" t="s">
        <v>1268</v>
      </c>
      <c r="F2564" s="155" t="str">
        <f>_xlfn.XLOOKUP(B2564,STUDIES!$A$3:$A$1063,STUDIES!$G$3:$G$1063,"Not Found!")</f>
        <v>A</v>
      </c>
      <c r="G2564" s="273" t="s">
        <v>1836</v>
      </c>
      <c r="H2564" s="273">
        <v>12</v>
      </c>
      <c r="I2564" s="273">
        <v>47</v>
      </c>
      <c r="J2564" s="274">
        <f>I2564*0.159</f>
        <v>7.4729999999999999</v>
      </c>
    </row>
    <row r="2565" spans="1:47" ht="18" customHeight="1" x14ac:dyDescent="0.35">
      <c r="A2565" s="274">
        <f>MATCH(B2565,STUDIES!$A$3:$A$502,0)</f>
        <v>112</v>
      </c>
      <c r="B2565" s="86" t="s">
        <v>2202</v>
      </c>
      <c r="D2565" s="281" t="s">
        <v>148</v>
      </c>
      <c r="E2565" s="272" t="s">
        <v>1268</v>
      </c>
      <c r="F2565" s="155" t="str">
        <f>_xlfn.XLOOKUP(B2565,STUDIES!$A$3:$A$1063,STUDIES!$G$3:$G$1063,"Not Found!")</f>
        <v>A</v>
      </c>
      <c r="G2565" s="273" t="s">
        <v>1836</v>
      </c>
      <c r="H2565" s="273">
        <v>12</v>
      </c>
      <c r="I2565" s="273">
        <v>22</v>
      </c>
      <c r="J2565" s="274">
        <f>I2565*0.285</f>
        <v>6.27</v>
      </c>
    </row>
    <row r="2566" spans="1:47" ht="18" customHeight="1" x14ac:dyDescent="0.35">
      <c r="A2566" s="274">
        <f>MATCH(B2566,STUDIES!$A$3:$A$502,0)</f>
        <v>112</v>
      </c>
      <c r="B2566" s="86" t="s">
        <v>2202</v>
      </c>
      <c r="D2566" s="232" t="s">
        <v>2207</v>
      </c>
      <c r="E2566" s="272" t="s">
        <v>1163</v>
      </c>
      <c r="F2566" s="155" t="str">
        <f>_xlfn.XLOOKUP(B2566,STUDIES!$A$3:$A$1063,STUDIES!$G$3:$G$1063,"Not Found!")</f>
        <v>A</v>
      </c>
      <c r="G2566" s="273" t="s">
        <v>1836</v>
      </c>
      <c r="H2566" s="273">
        <v>12</v>
      </c>
      <c r="I2566" s="273">
        <v>52</v>
      </c>
      <c r="J2566" s="274">
        <v>0</v>
      </c>
    </row>
    <row r="2567" spans="1:47" ht="18" customHeight="1" x14ac:dyDescent="0.35">
      <c r="A2567" s="274">
        <f>MATCH(B2567,STUDIES!$A$3:$A$502,0)</f>
        <v>112</v>
      </c>
      <c r="B2567" s="86" t="s">
        <v>2202</v>
      </c>
      <c r="D2567" s="281" t="s">
        <v>148</v>
      </c>
      <c r="E2567" s="272" t="s">
        <v>1163</v>
      </c>
      <c r="F2567" s="155" t="str">
        <f>_xlfn.XLOOKUP(B2567,STUDIES!$A$3:$A$1063,STUDIES!$G$3:$G$1063,"Not Found!")</f>
        <v>A</v>
      </c>
      <c r="G2567" s="273" t="s">
        <v>1836</v>
      </c>
      <c r="H2567" s="273">
        <v>12</v>
      </c>
      <c r="I2567" s="273">
        <v>25</v>
      </c>
      <c r="J2567" s="274">
        <v>0</v>
      </c>
    </row>
    <row r="2568" spans="1:47" ht="18" customHeight="1" x14ac:dyDescent="0.35">
      <c r="A2568" s="274">
        <f>MATCH(B2568,STUDIES!$A$3:$A$502,0)</f>
        <v>112</v>
      </c>
      <c r="B2568" s="86" t="s">
        <v>2202</v>
      </c>
      <c r="D2568" s="232" t="s">
        <v>2207</v>
      </c>
      <c r="E2568" s="272" t="s">
        <v>1167</v>
      </c>
      <c r="F2568" s="155" t="str">
        <f>_xlfn.XLOOKUP(B2568,STUDIES!$A$3:$A$1063,STUDIES!$G$3:$G$1063,"Not Found!")</f>
        <v>A</v>
      </c>
      <c r="G2568" s="273" t="s">
        <v>1836</v>
      </c>
      <c r="H2568" s="273">
        <v>12</v>
      </c>
      <c r="I2568" s="273">
        <v>52</v>
      </c>
      <c r="J2568" s="274">
        <v>3</v>
      </c>
    </row>
    <row r="2569" spans="1:47" ht="18" customHeight="1" x14ac:dyDescent="0.35">
      <c r="A2569" s="274">
        <f>MATCH(B2569,STUDIES!$A$3:$A$502,0)</f>
        <v>112</v>
      </c>
      <c r="B2569" s="86" t="s">
        <v>2202</v>
      </c>
      <c r="D2569" s="281" t="s">
        <v>148</v>
      </c>
      <c r="E2569" s="272" t="s">
        <v>1167</v>
      </c>
      <c r="F2569" s="155" t="str">
        <f>_xlfn.XLOOKUP(B2569,STUDIES!$A$3:$A$1063,STUDIES!$G$3:$G$1063,"Not Found!")</f>
        <v>A</v>
      </c>
      <c r="G2569" s="273" t="s">
        <v>1836</v>
      </c>
      <c r="H2569" s="273">
        <v>12</v>
      </c>
      <c r="I2569" s="273">
        <v>25</v>
      </c>
      <c r="J2569" s="274">
        <v>1</v>
      </c>
    </row>
    <row r="2570" spans="1:47" ht="18" customHeight="1" x14ac:dyDescent="0.35">
      <c r="A2570" s="274">
        <f>MATCH(B2570,STUDIES!$A$3:$A$502,0)</f>
        <v>113</v>
      </c>
      <c r="B2570" s="272" t="s">
        <v>2213</v>
      </c>
      <c r="D2570" s="232" t="s">
        <v>2219</v>
      </c>
      <c r="E2570" s="272" t="s">
        <v>1167</v>
      </c>
      <c r="F2570" s="155" t="str">
        <f>_xlfn.XLOOKUP(B2570,STUDIES!$A$3:$A$1063,STUDIES!$G$3:$G$1063,"Not Found!")</f>
        <v>A</v>
      </c>
      <c r="G2570" s="273" t="s">
        <v>147</v>
      </c>
      <c r="H2570" s="273">
        <v>16</v>
      </c>
      <c r="I2570" s="273">
        <v>9</v>
      </c>
      <c r="J2570" s="274">
        <v>0</v>
      </c>
    </row>
    <row r="2571" spans="1:47" ht="18" customHeight="1" x14ac:dyDescent="0.35">
      <c r="A2571" s="274">
        <f>MATCH(B2571,STUDIES!$A$3:$A$502,0)</f>
        <v>113</v>
      </c>
      <c r="B2571" s="272" t="s">
        <v>2213</v>
      </c>
      <c r="D2571" s="109" t="s">
        <v>1056</v>
      </c>
      <c r="E2571" s="272" t="s">
        <v>1167</v>
      </c>
      <c r="F2571" s="155" t="str">
        <f>_xlfn.XLOOKUP(B2571,STUDIES!$A$3:$A$1063,STUDIES!$G$3:$G$1063,"Not Found!")</f>
        <v>A</v>
      </c>
      <c r="G2571" s="273" t="s">
        <v>147</v>
      </c>
      <c r="H2571" s="273">
        <v>16</v>
      </c>
      <c r="I2571" s="273">
        <v>4</v>
      </c>
      <c r="J2571" s="274">
        <v>0</v>
      </c>
    </row>
    <row r="2572" spans="1:47" ht="18" customHeight="1" x14ac:dyDescent="0.35">
      <c r="A2572" s="274">
        <f>MATCH(B2572,STUDIES!$A$3:$A$502,0)</f>
        <v>113</v>
      </c>
      <c r="B2572" s="272" t="s">
        <v>2213</v>
      </c>
      <c r="D2572" s="232" t="s">
        <v>2219</v>
      </c>
      <c r="E2572" s="272" t="s">
        <v>2221</v>
      </c>
      <c r="F2572" s="155" t="str">
        <f>_xlfn.XLOOKUP(B2572,STUDIES!$A$3:$A$1063,STUDIES!$G$3:$G$1063,"Not Found!")</f>
        <v>A</v>
      </c>
      <c r="G2572" s="273" t="s">
        <v>147</v>
      </c>
      <c r="H2572" s="273">
        <v>16</v>
      </c>
      <c r="I2572" s="273">
        <v>9</v>
      </c>
      <c r="J2572" s="274">
        <v>0</v>
      </c>
    </row>
    <row r="2573" spans="1:47" ht="18" customHeight="1" x14ac:dyDescent="0.35">
      <c r="A2573" s="274">
        <f>MATCH(B2573,STUDIES!$A$3:$A$502,0)</f>
        <v>113</v>
      </c>
      <c r="B2573" s="272" t="s">
        <v>2213</v>
      </c>
      <c r="D2573" s="109" t="s">
        <v>1056</v>
      </c>
      <c r="E2573" s="272" t="s">
        <v>2221</v>
      </c>
      <c r="F2573" s="155" t="str">
        <f>_xlfn.XLOOKUP(B2573,STUDIES!$A$3:$A$1063,STUDIES!$G$3:$G$1063,"Not Found!")</f>
        <v>A</v>
      </c>
      <c r="G2573" s="273" t="s">
        <v>147</v>
      </c>
      <c r="H2573" s="273">
        <v>16</v>
      </c>
      <c r="I2573" s="273">
        <v>4</v>
      </c>
      <c r="J2573" s="274">
        <v>0</v>
      </c>
    </row>
    <row r="2574" spans="1:47" ht="18" customHeight="1" x14ac:dyDescent="0.35">
      <c r="A2574" s="453">
        <f>MATCH(B2574,STUDIES!$A$3:$A$502,0)</f>
        <v>105</v>
      </c>
      <c r="B2574" s="469" t="s">
        <v>2228</v>
      </c>
      <c r="C2574" s="476"/>
      <c r="D2574" s="8" t="s">
        <v>1833</v>
      </c>
      <c r="E2574" s="477" t="s">
        <v>151</v>
      </c>
      <c r="F2574" s="478" t="str">
        <f>_xlfn.XLOOKUP(B2574,STUDIES!$A$3:$A$1063,STUDIES!$G$3:$G$1063,"Not Found!")</f>
        <v>A</v>
      </c>
      <c r="G2574" s="452" t="s">
        <v>1836</v>
      </c>
      <c r="H2574" s="452">
        <v>16</v>
      </c>
      <c r="I2574" s="452">
        <v>77</v>
      </c>
      <c r="J2574" s="453"/>
      <c r="K2574" s="284">
        <v>30.3</v>
      </c>
      <c r="L2574" s="284"/>
      <c r="M2574" s="284">
        <v>11.7</v>
      </c>
      <c r="N2574" s="284"/>
      <c r="O2574" s="284"/>
      <c r="P2574" s="284"/>
      <c r="Q2574" s="454"/>
      <c r="R2574" s="455"/>
      <c r="S2574" s="284"/>
      <c r="T2574" s="284"/>
      <c r="U2574" s="284"/>
      <c r="V2574" s="284"/>
      <c r="W2574" s="284"/>
      <c r="X2574" s="479"/>
      <c r="Y2574" s="284"/>
      <c r="Z2574" s="284"/>
      <c r="AA2574" s="284"/>
      <c r="AB2574" s="284"/>
      <c r="AC2574" s="284"/>
      <c r="AD2574" s="479"/>
      <c r="AE2574" s="284"/>
      <c r="AF2574" s="284"/>
      <c r="AG2574" s="284"/>
      <c r="AH2574" s="284"/>
      <c r="AI2574" s="284"/>
      <c r="AJ2574" s="479"/>
      <c r="AK2574" s="284"/>
      <c r="AL2574" s="284"/>
      <c r="AM2574" s="284"/>
      <c r="AN2574" s="284"/>
      <c r="AO2574" s="480"/>
      <c r="AP2574" s="284">
        <v>-32.1</v>
      </c>
      <c r="AQ2574" s="284"/>
      <c r="AR2574" s="284"/>
      <c r="AS2574" s="284">
        <v>-43.9</v>
      </c>
      <c r="AT2574" s="284">
        <v>-20.3</v>
      </c>
      <c r="AU2574" s="480">
        <v>0.95</v>
      </c>
    </row>
    <row r="2575" spans="1:47" ht="18" customHeight="1" x14ac:dyDescent="0.35">
      <c r="A2575" s="453">
        <f>MATCH(B2575,STUDIES!$A$3:$A$502,0)</f>
        <v>105</v>
      </c>
      <c r="B2575" s="469" t="s">
        <v>2228</v>
      </c>
      <c r="C2575" s="476"/>
      <c r="D2575" s="474" t="s">
        <v>2110</v>
      </c>
      <c r="E2575" s="477" t="s">
        <v>151</v>
      </c>
      <c r="F2575" s="478" t="str">
        <f>_xlfn.XLOOKUP(B2575,STUDIES!$A$3:$A$1063,STUDIES!$G$3:$G$1063,"Not Found!")</f>
        <v>A</v>
      </c>
      <c r="G2575" s="452" t="s">
        <v>147</v>
      </c>
      <c r="H2575" s="452">
        <v>16</v>
      </c>
      <c r="I2575" s="452">
        <v>78</v>
      </c>
      <c r="J2575" s="453"/>
      <c r="K2575" s="284">
        <v>28.7</v>
      </c>
      <c r="L2575" s="284"/>
      <c r="M2575" s="284">
        <v>10.5</v>
      </c>
      <c r="N2575" s="284"/>
      <c r="O2575" s="284"/>
      <c r="P2575" s="284"/>
      <c r="Q2575" s="454"/>
      <c r="R2575" s="455"/>
      <c r="S2575" s="284"/>
      <c r="T2575" s="284"/>
      <c r="U2575" s="284"/>
      <c r="V2575" s="284"/>
      <c r="W2575" s="284"/>
      <c r="X2575" s="479"/>
      <c r="Y2575" s="284"/>
      <c r="Z2575" s="284"/>
      <c r="AA2575" s="284"/>
      <c r="AB2575" s="284"/>
      <c r="AC2575" s="284"/>
      <c r="AD2575" s="479"/>
      <c r="AE2575" s="284"/>
      <c r="AF2575" s="284"/>
      <c r="AG2575" s="284"/>
      <c r="AH2575" s="284"/>
      <c r="AI2575" s="284"/>
      <c r="AJ2575" s="479"/>
      <c r="AK2575" s="284"/>
      <c r="AL2575" s="284"/>
      <c r="AM2575" s="284"/>
      <c r="AN2575" s="284"/>
      <c r="AO2575" s="480"/>
      <c r="AP2575" s="284">
        <v>-27.3</v>
      </c>
      <c r="AQ2575" s="284"/>
      <c r="AR2575" s="284"/>
      <c r="AS2575" s="284">
        <v>-39.1</v>
      </c>
      <c r="AT2575" s="284">
        <v>-15.6</v>
      </c>
      <c r="AU2575" s="480">
        <v>0.95</v>
      </c>
    </row>
    <row r="2576" spans="1:47" ht="18" customHeight="1" x14ac:dyDescent="0.35">
      <c r="A2576" s="453">
        <f>MATCH(B2576,STUDIES!$A$3:$A$502,0)</f>
        <v>105</v>
      </c>
      <c r="B2576" s="469" t="s">
        <v>2228</v>
      </c>
      <c r="C2576" s="476"/>
      <c r="D2576" s="475" t="s">
        <v>2113</v>
      </c>
      <c r="E2576" s="477" t="s">
        <v>151</v>
      </c>
      <c r="F2576" s="478" t="str">
        <f>_xlfn.XLOOKUP(B2576,STUDIES!$A$3:$A$1063,STUDIES!$G$3:$G$1063,"Not Found!")</f>
        <v>A</v>
      </c>
      <c r="G2576" s="452" t="s">
        <v>147</v>
      </c>
      <c r="H2576" s="452">
        <v>16</v>
      </c>
      <c r="I2576" s="452">
        <v>77</v>
      </c>
      <c r="J2576" s="453"/>
      <c r="K2576" s="284">
        <v>30.3</v>
      </c>
      <c r="L2576" s="284"/>
      <c r="M2576" s="284">
        <v>12.4</v>
      </c>
      <c r="N2576" s="284"/>
      <c r="O2576" s="284"/>
      <c r="P2576" s="284"/>
      <c r="Q2576" s="454"/>
      <c r="R2576" s="455"/>
      <c r="S2576" s="284"/>
      <c r="T2576" s="284"/>
      <c r="U2576" s="284"/>
      <c r="V2576" s="284"/>
      <c r="W2576" s="284"/>
      <c r="X2576" s="479"/>
      <c r="Y2576" s="284"/>
      <c r="Z2576" s="284"/>
      <c r="AA2576" s="284"/>
      <c r="AB2576" s="284"/>
      <c r="AC2576" s="284"/>
      <c r="AD2576" s="479"/>
      <c r="AE2576" s="284"/>
      <c r="AF2576" s="284"/>
      <c r="AG2576" s="284"/>
      <c r="AH2576" s="284"/>
      <c r="AI2576" s="284"/>
      <c r="AJ2576" s="479"/>
      <c r="AK2576" s="284"/>
      <c r="AL2576" s="284"/>
      <c r="AM2576" s="284"/>
      <c r="AN2576" s="284"/>
      <c r="AO2576" s="480"/>
      <c r="AP2576" s="284">
        <v>-22.2</v>
      </c>
      <c r="AQ2576" s="284"/>
      <c r="AR2576" s="284"/>
      <c r="AS2576" s="284">
        <v>-34</v>
      </c>
      <c r="AT2576" s="284">
        <v>-10.4</v>
      </c>
      <c r="AU2576" s="480">
        <v>0.95</v>
      </c>
    </row>
    <row r="2577" spans="1:47" ht="18" customHeight="1" x14ac:dyDescent="0.35">
      <c r="A2577" s="453">
        <f>MATCH(B2577,STUDIES!$A$3:$A$502,0)</f>
        <v>105</v>
      </c>
      <c r="B2577" s="469" t="s">
        <v>2228</v>
      </c>
      <c r="C2577" s="476"/>
      <c r="D2577" s="475" t="s">
        <v>2114</v>
      </c>
      <c r="E2577" s="477" t="s">
        <v>151</v>
      </c>
      <c r="F2577" s="478" t="str">
        <f>_xlfn.XLOOKUP(B2577,STUDIES!$A$3:$A$1063,STUDIES!$G$3:$G$1063,"Not Found!")</f>
        <v>A</v>
      </c>
      <c r="G2577" s="452" t="s">
        <v>147</v>
      </c>
      <c r="H2577" s="452">
        <v>16</v>
      </c>
      <c r="I2577" s="452">
        <v>79</v>
      </c>
      <c r="J2577" s="453"/>
      <c r="K2577" s="284">
        <v>28.7</v>
      </c>
      <c r="L2577" s="284"/>
      <c r="M2577" s="284">
        <v>10.1</v>
      </c>
      <c r="N2577" s="284"/>
      <c r="O2577" s="284"/>
      <c r="P2577" s="284"/>
      <c r="Q2577" s="454"/>
      <c r="R2577" s="455"/>
      <c r="S2577" s="284"/>
      <c r="T2577" s="284"/>
      <c r="U2577" s="284"/>
      <c r="V2577" s="284"/>
      <c r="W2577" s="284"/>
      <c r="X2577" s="479"/>
      <c r="Y2577" s="284"/>
      <c r="Z2577" s="284"/>
      <c r="AA2577" s="284"/>
      <c r="AB2577" s="284"/>
      <c r="AC2577" s="284"/>
      <c r="AD2577" s="479"/>
      <c r="AE2577" s="284"/>
      <c r="AF2577" s="284"/>
      <c r="AG2577" s="284"/>
      <c r="AH2577" s="284"/>
      <c r="AI2577" s="284"/>
      <c r="AJ2577" s="479"/>
      <c r="AK2577" s="284"/>
      <c r="AL2577" s="284"/>
      <c r="AM2577" s="284"/>
      <c r="AN2577" s="284"/>
      <c r="AO2577" s="480"/>
      <c r="AP2577" s="284">
        <v>-30.2</v>
      </c>
      <c r="AQ2577" s="284"/>
      <c r="AR2577" s="284"/>
      <c r="AS2577" s="284">
        <v>-41.9</v>
      </c>
      <c r="AT2577" s="284">
        <v>-18.5</v>
      </c>
      <c r="AU2577" s="480">
        <v>0.95</v>
      </c>
    </row>
    <row r="2578" spans="1:47" ht="18" customHeight="1" x14ac:dyDescent="0.35">
      <c r="A2578" s="453">
        <f>MATCH(B2578,STUDIES!$A$3:$A$502,0)</f>
        <v>105</v>
      </c>
      <c r="B2578" s="469" t="s">
        <v>2228</v>
      </c>
      <c r="C2578" s="476"/>
      <c r="D2578" s="474" t="s">
        <v>148</v>
      </c>
      <c r="E2578" s="477" t="s">
        <v>151</v>
      </c>
      <c r="F2578" s="478" t="str">
        <f>_xlfn.XLOOKUP(B2578,STUDIES!$A$3:$A$1063,STUDIES!$G$3:$G$1063,"Not Found!")</f>
        <v>A</v>
      </c>
      <c r="G2578" s="452" t="s">
        <v>147</v>
      </c>
      <c r="H2578" s="452">
        <v>16</v>
      </c>
      <c r="I2578" s="452">
        <v>79</v>
      </c>
      <c r="J2578" s="453"/>
      <c r="K2578" s="284">
        <v>26.4</v>
      </c>
      <c r="L2578" s="284"/>
      <c r="M2578" s="284">
        <v>7.9</v>
      </c>
      <c r="N2578" s="284"/>
      <c r="O2578" s="284"/>
      <c r="P2578" s="284"/>
      <c r="Q2578" s="454"/>
      <c r="R2578" s="455"/>
      <c r="S2578" s="284"/>
      <c r="T2578" s="284"/>
      <c r="U2578" s="284"/>
      <c r="V2578" s="284"/>
      <c r="W2578" s="284"/>
      <c r="X2578" s="479"/>
      <c r="Y2578" s="284"/>
      <c r="Z2578" s="284"/>
      <c r="AA2578" s="284"/>
      <c r="AB2578" s="284"/>
      <c r="AC2578" s="284"/>
      <c r="AD2578" s="479"/>
      <c r="AE2578" s="284"/>
      <c r="AF2578" s="284"/>
      <c r="AG2578" s="284"/>
      <c r="AH2578" s="284"/>
      <c r="AI2578" s="284"/>
      <c r="AJ2578" s="479"/>
      <c r="AK2578" s="284"/>
      <c r="AL2578" s="284"/>
      <c r="AM2578" s="284"/>
      <c r="AN2578" s="284"/>
      <c r="AO2578" s="480"/>
      <c r="AP2578" s="284"/>
      <c r="AQ2578" s="284"/>
      <c r="AR2578" s="284"/>
      <c r="AS2578" s="284"/>
      <c r="AT2578" s="284"/>
      <c r="AU2578" s="480"/>
    </row>
    <row r="2579" spans="1:47" ht="18" customHeight="1" x14ac:dyDescent="0.35">
      <c r="A2579" s="274">
        <f>MATCH(B2579,STUDIES!$A$3:$A$502,0)</f>
        <v>105</v>
      </c>
      <c r="B2579" s="469" t="s">
        <v>2228</v>
      </c>
      <c r="C2579" s="476"/>
      <c r="D2579" s="8" t="s">
        <v>1833</v>
      </c>
      <c r="E2579" s="477" t="s">
        <v>151</v>
      </c>
      <c r="F2579" s="478" t="str">
        <f>_xlfn.XLOOKUP(B2579,STUDIES!$A$3:$A$1063,STUDIES!$G$3:$G$1063,"Not Found!")</f>
        <v>A</v>
      </c>
      <c r="G2579" s="452" t="s">
        <v>152</v>
      </c>
      <c r="H2579" s="452">
        <v>24</v>
      </c>
      <c r="I2579" s="452">
        <v>77</v>
      </c>
      <c r="J2579" s="453"/>
      <c r="K2579" s="284">
        <v>30.3</v>
      </c>
      <c r="L2579" s="284"/>
      <c r="M2579" s="284">
        <v>11.7</v>
      </c>
      <c r="N2579" s="284"/>
      <c r="O2579" s="284"/>
      <c r="P2579" s="284"/>
      <c r="Q2579" s="454"/>
      <c r="R2579" s="455"/>
      <c r="S2579" s="284"/>
      <c r="T2579" s="284"/>
      <c r="U2579" s="284"/>
      <c r="V2579" s="284"/>
      <c r="W2579" s="284"/>
      <c r="X2579" s="479"/>
      <c r="Y2579" s="284"/>
      <c r="Z2579" s="284"/>
      <c r="AA2579" s="284"/>
      <c r="AB2579" s="284"/>
      <c r="AC2579" s="284"/>
      <c r="AD2579" s="479"/>
      <c r="AE2579" s="284"/>
      <c r="AF2579" s="284"/>
      <c r="AG2579" s="284"/>
      <c r="AH2579" s="284"/>
      <c r="AI2579" s="284"/>
      <c r="AJ2579" s="479"/>
      <c r="AK2579" s="284"/>
      <c r="AL2579" s="284"/>
      <c r="AM2579" s="284"/>
      <c r="AN2579" s="284"/>
      <c r="AO2579" s="480"/>
      <c r="AP2579" s="284">
        <v>-36.799999999999997</v>
      </c>
      <c r="AQ2579" s="284"/>
      <c r="AR2579" s="284"/>
      <c r="AS2579" s="284">
        <v>-49.8</v>
      </c>
      <c r="AT2579" s="284">
        <v>-23.8</v>
      </c>
      <c r="AU2579" s="480">
        <v>0.95</v>
      </c>
    </row>
    <row r="2580" spans="1:47" ht="18" customHeight="1" x14ac:dyDescent="0.35">
      <c r="A2580" s="274">
        <f>MATCH(B2580,STUDIES!$A$3:$A$502,0)</f>
        <v>105</v>
      </c>
      <c r="B2580" s="469" t="s">
        <v>2228</v>
      </c>
      <c r="C2580" s="476"/>
      <c r="D2580" s="474" t="s">
        <v>2110</v>
      </c>
      <c r="E2580" s="477" t="s">
        <v>151</v>
      </c>
      <c r="F2580" s="478" t="str">
        <f>_xlfn.XLOOKUP(B2580,STUDIES!$A$3:$A$1063,STUDIES!$G$3:$G$1063,"Not Found!")</f>
        <v>A</v>
      </c>
      <c r="G2580" s="452" t="s">
        <v>152</v>
      </c>
      <c r="H2580" s="452">
        <v>24</v>
      </c>
      <c r="I2580" s="452">
        <v>78</v>
      </c>
      <c r="J2580" s="453"/>
      <c r="K2580" s="284">
        <v>28.7</v>
      </c>
      <c r="L2580" s="284"/>
      <c r="M2580" s="284">
        <v>10.5</v>
      </c>
      <c r="N2580" s="284"/>
      <c r="O2580" s="284"/>
      <c r="P2580" s="284"/>
      <c r="Q2580" s="454"/>
      <c r="R2580" s="455"/>
      <c r="S2580" s="284"/>
      <c r="T2580" s="284"/>
      <c r="U2580" s="284"/>
      <c r="V2580" s="284"/>
      <c r="W2580" s="284"/>
      <c r="X2580" s="479"/>
      <c r="Y2580" s="284"/>
      <c r="Z2580" s="284"/>
      <c r="AA2580" s="284"/>
      <c r="AB2580" s="284"/>
      <c r="AC2580" s="284"/>
      <c r="AD2580" s="479"/>
      <c r="AE2580" s="284"/>
      <c r="AF2580" s="284"/>
      <c r="AG2580" s="284"/>
      <c r="AH2580" s="284"/>
      <c r="AI2580" s="284"/>
      <c r="AJ2580" s="479"/>
      <c r="AK2580" s="284"/>
      <c r="AL2580" s="284"/>
      <c r="AM2580" s="284"/>
      <c r="AN2580" s="284"/>
      <c r="AO2580" s="480"/>
      <c r="AP2580" s="284">
        <v>-24.6</v>
      </c>
      <c r="AQ2580" s="284"/>
      <c r="AR2580" s="284"/>
      <c r="AS2580" s="284">
        <v>-37.700000000000003</v>
      </c>
      <c r="AT2580" s="284">
        <v>-11.6</v>
      </c>
      <c r="AU2580" s="480">
        <v>0.95</v>
      </c>
    </row>
    <row r="2581" spans="1:47" ht="18" customHeight="1" x14ac:dyDescent="0.35">
      <c r="A2581" s="274">
        <f>MATCH(B2581,STUDIES!$A$3:$A$502,0)</f>
        <v>105</v>
      </c>
      <c r="B2581" s="469" t="s">
        <v>2228</v>
      </c>
      <c r="C2581" s="476"/>
      <c r="D2581" s="475" t="s">
        <v>2113</v>
      </c>
      <c r="E2581" s="477" t="s">
        <v>151</v>
      </c>
      <c r="F2581" s="478" t="str">
        <f>_xlfn.XLOOKUP(B2581,STUDIES!$A$3:$A$1063,STUDIES!$G$3:$G$1063,"Not Found!")</f>
        <v>A</v>
      </c>
      <c r="G2581" s="452" t="s">
        <v>152</v>
      </c>
      <c r="H2581" s="452">
        <v>24</v>
      </c>
      <c r="I2581" s="452">
        <v>77</v>
      </c>
      <c r="J2581" s="453"/>
      <c r="K2581" s="284">
        <v>30.3</v>
      </c>
      <c r="L2581" s="284"/>
      <c r="M2581" s="284">
        <v>12.4</v>
      </c>
      <c r="N2581" s="284"/>
      <c r="O2581" s="284"/>
      <c r="P2581" s="284"/>
      <c r="Q2581" s="454"/>
      <c r="R2581" s="455"/>
      <c r="S2581" s="284"/>
      <c r="T2581" s="284"/>
      <c r="U2581" s="284"/>
      <c r="V2581" s="284"/>
      <c r="W2581" s="284"/>
      <c r="X2581" s="479"/>
      <c r="Y2581" s="284"/>
      <c r="Z2581" s="284"/>
      <c r="AA2581" s="284"/>
      <c r="AB2581" s="284"/>
      <c r="AC2581" s="284"/>
      <c r="AD2581" s="479"/>
      <c r="AE2581" s="284"/>
      <c r="AF2581" s="284"/>
      <c r="AG2581" s="284"/>
      <c r="AH2581" s="284"/>
      <c r="AI2581" s="284"/>
      <c r="AJ2581" s="479"/>
      <c r="AK2581" s="284"/>
      <c r="AL2581" s="284"/>
      <c r="AM2581" s="284"/>
      <c r="AN2581" s="284"/>
      <c r="AO2581" s="480"/>
      <c r="AP2581" s="284">
        <v>-26.2</v>
      </c>
      <c r="AQ2581" s="284"/>
      <c r="AR2581" s="284"/>
      <c r="AS2581" s="284">
        <v>-39.200000000000003</v>
      </c>
      <c r="AT2581" s="284">
        <v>-13.1</v>
      </c>
      <c r="AU2581" s="480">
        <v>0.95</v>
      </c>
    </row>
    <row r="2582" spans="1:47" ht="18" customHeight="1" x14ac:dyDescent="0.35">
      <c r="A2582" s="274">
        <f>MATCH(B2582,STUDIES!$A$3:$A$502,0)</f>
        <v>105</v>
      </c>
      <c r="B2582" s="469" t="s">
        <v>2228</v>
      </c>
      <c r="C2582" s="476"/>
      <c r="D2582" s="475" t="s">
        <v>2114</v>
      </c>
      <c r="E2582" s="477" t="s">
        <v>151</v>
      </c>
      <c r="F2582" s="478" t="str">
        <f>_xlfn.XLOOKUP(B2582,STUDIES!$A$3:$A$1063,STUDIES!$G$3:$G$1063,"Not Found!")</f>
        <v>A</v>
      </c>
      <c r="G2582" s="452" t="s">
        <v>152</v>
      </c>
      <c r="H2582" s="452">
        <v>24</v>
      </c>
      <c r="I2582" s="452">
        <v>79</v>
      </c>
      <c r="J2582" s="453"/>
      <c r="K2582" s="284">
        <v>28.7</v>
      </c>
      <c r="L2582" s="284"/>
      <c r="M2582" s="284">
        <v>10.1</v>
      </c>
      <c r="N2582" s="284"/>
      <c r="O2582" s="284"/>
      <c r="P2582" s="284"/>
      <c r="Q2582" s="454"/>
      <c r="R2582" s="455"/>
      <c r="S2582" s="284"/>
      <c r="T2582" s="284"/>
      <c r="U2582" s="284"/>
      <c r="V2582" s="284"/>
      <c r="W2582" s="284"/>
      <c r="X2582" s="479"/>
      <c r="Y2582" s="284"/>
      <c r="Z2582" s="284"/>
      <c r="AA2582" s="284"/>
      <c r="AB2582" s="284"/>
      <c r="AC2582" s="284"/>
      <c r="AD2582" s="479"/>
      <c r="AE2582" s="284"/>
      <c r="AF2582" s="284"/>
      <c r="AG2582" s="284"/>
      <c r="AH2582" s="284"/>
      <c r="AI2582" s="284"/>
      <c r="AJ2582" s="479"/>
      <c r="AK2582" s="284"/>
      <c r="AL2582" s="284"/>
      <c r="AM2582" s="284"/>
      <c r="AN2582" s="284"/>
      <c r="AO2582" s="480"/>
      <c r="AP2582" s="284">
        <v>-26.8</v>
      </c>
      <c r="AQ2582" s="284"/>
      <c r="AR2582" s="284"/>
      <c r="AS2582" s="284">
        <v>-39.700000000000003</v>
      </c>
      <c r="AT2582" s="284">
        <v>-13.9</v>
      </c>
      <c r="AU2582" s="480">
        <v>0.95</v>
      </c>
    </row>
    <row r="2583" spans="1:47" ht="18" customHeight="1" x14ac:dyDescent="0.35">
      <c r="A2583" s="274">
        <f>MATCH(B2583,STUDIES!$A$3:$A$502,0)</f>
        <v>105</v>
      </c>
      <c r="B2583" s="469" t="s">
        <v>2228</v>
      </c>
      <c r="C2583" s="476"/>
      <c r="D2583" s="474" t="s">
        <v>148</v>
      </c>
      <c r="E2583" s="477" t="s">
        <v>151</v>
      </c>
      <c r="F2583" s="478" t="str">
        <f>_xlfn.XLOOKUP(B2583,STUDIES!$A$3:$A$1063,STUDIES!$G$3:$G$1063,"Not Found!")</f>
        <v>A</v>
      </c>
      <c r="G2583" s="452" t="s">
        <v>152</v>
      </c>
      <c r="H2583" s="452">
        <v>24</v>
      </c>
      <c r="I2583" s="452">
        <v>79</v>
      </c>
      <c r="J2583" s="453"/>
      <c r="K2583" s="284">
        <v>26.4</v>
      </c>
      <c r="L2583" s="284"/>
      <c r="M2583" s="284">
        <v>7.9</v>
      </c>
      <c r="N2583" s="284"/>
      <c r="O2583" s="284"/>
      <c r="P2583" s="284"/>
      <c r="Q2583" s="454"/>
      <c r="R2583" s="455"/>
      <c r="S2583" s="284"/>
      <c r="T2583" s="284"/>
      <c r="U2583" s="284"/>
      <c r="V2583" s="284"/>
      <c r="W2583" s="284"/>
      <c r="X2583" s="479"/>
      <c r="Y2583" s="284"/>
      <c r="Z2583" s="284"/>
      <c r="AA2583" s="284"/>
      <c r="AB2583" s="284"/>
      <c r="AC2583" s="284"/>
      <c r="AD2583" s="479"/>
      <c r="AE2583" s="284"/>
      <c r="AF2583" s="284"/>
      <c r="AG2583" s="284"/>
      <c r="AH2583" s="284"/>
      <c r="AI2583" s="284"/>
      <c r="AJ2583" s="479"/>
      <c r="AK2583" s="284"/>
      <c r="AL2583" s="284"/>
      <c r="AM2583" s="284"/>
      <c r="AN2583" s="284"/>
      <c r="AO2583" s="480"/>
      <c r="AP2583" s="284"/>
      <c r="AQ2583" s="284"/>
      <c r="AR2583" s="284"/>
      <c r="AS2583" s="284"/>
      <c r="AT2583" s="284"/>
      <c r="AU2583" s="480"/>
    </row>
    <row r="2584" spans="1:47" ht="18" customHeight="1" x14ac:dyDescent="0.35">
      <c r="A2584" s="274">
        <f>MATCH(B2584,STUDIES!$A$3:$A$502,0)</f>
        <v>105</v>
      </c>
      <c r="B2584" s="469" t="s">
        <v>2228</v>
      </c>
      <c r="C2584" s="476"/>
      <c r="D2584" s="8" t="s">
        <v>1833</v>
      </c>
      <c r="E2584" s="477" t="s">
        <v>1268</v>
      </c>
      <c r="F2584" s="478" t="str">
        <f>_xlfn.XLOOKUP(B2584,STUDIES!$A$3:$A$1063,STUDIES!$G$3:$G$1063,"Not Found!")</f>
        <v>A</v>
      </c>
      <c r="G2584" s="452" t="s">
        <v>1836</v>
      </c>
      <c r="H2584" s="452">
        <v>16</v>
      </c>
      <c r="I2584" s="452">
        <v>77</v>
      </c>
      <c r="J2584" s="453">
        <v>17</v>
      </c>
    </row>
    <row r="2585" spans="1:47" ht="18" customHeight="1" x14ac:dyDescent="0.35">
      <c r="A2585" s="274">
        <f>MATCH(B2585,STUDIES!$A$3:$A$502,0)</f>
        <v>105</v>
      </c>
      <c r="B2585" s="469" t="s">
        <v>2228</v>
      </c>
      <c r="C2585" s="476"/>
      <c r="D2585" s="474" t="s">
        <v>2110</v>
      </c>
      <c r="E2585" s="477" t="s">
        <v>1268</v>
      </c>
      <c r="F2585" s="478" t="str">
        <f>_xlfn.XLOOKUP(B2585,STUDIES!$A$3:$A$1063,STUDIES!$G$3:$G$1063,"Not Found!")</f>
        <v>A</v>
      </c>
      <c r="G2585" s="452" t="s">
        <v>147</v>
      </c>
      <c r="H2585" s="452">
        <v>16</v>
      </c>
      <c r="I2585" s="452">
        <v>78</v>
      </c>
      <c r="J2585" s="453">
        <v>11</v>
      </c>
    </row>
    <row r="2586" spans="1:47" ht="18" customHeight="1" x14ac:dyDescent="0.35">
      <c r="A2586" s="274">
        <f>MATCH(B2586,STUDIES!$A$3:$A$502,0)</f>
        <v>105</v>
      </c>
      <c r="B2586" s="469" t="s">
        <v>2228</v>
      </c>
      <c r="C2586" s="476"/>
      <c r="D2586" s="475" t="s">
        <v>2113</v>
      </c>
      <c r="E2586" s="477" t="s">
        <v>1268</v>
      </c>
      <c r="F2586" s="478" t="str">
        <f>_xlfn.XLOOKUP(B2586,STUDIES!$A$3:$A$1063,STUDIES!$G$3:$G$1063,"Not Found!")</f>
        <v>A</v>
      </c>
      <c r="G2586" s="452" t="s">
        <v>147</v>
      </c>
      <c r="H2586" s="452">
        <v>16</v>
      </c>
      <c r="I2586" s="452">
        <v>77</v>
      </c>
      <c r="J2586" s="453">
        <v>15</v>
      </c>
    </row>
    <row r="2587" spans="1:47" ht="18" customHeight="1" x14ac:dyDescent="0.35">
      <c r="A2587" s="274">
        <f>MATCH(B2587,STUDIES!$A$3:$A$502,0)</f>
        <v>105</v>
      </c>
      <c r="B2587" s="469" t="s">
        <v>2228</v>
      </c>
      <c r="C2587" s="476"/>
      <c r="D2587" s="475" t="s">
        <v>2114</v>
      </c>
      <c r="E2587" s="477" t="s">
        <v>1268</v>
      </c>
      <c r="F2587" s="478" t="str">
        <f>_xlfn.XLOOKUP(B2587,STUDIES!$A$3:$A$1063,STUDIES!$G$3:$G$1063,"Not Found!")</f>
        <v>A</v>
      </c>
      <c r="G2587" s="452" t="s">
        <v>147</v>
      </c>
      <c r="H2587" s="452">
        <v>16</v>
      </c>
      <c r="I2587" s="452">
        <v>79</v>
      </c>
      <c r="J2587" s="453">
        <v>20</v>
      </c>
    </row>
    <row r="2588" spans="1:47" ht="18" customHeight="1" x14ac:dyDescent="0.35">
      <c r="A2588" s="274">
        <f>MATCH(B2588,STUDIES!$A$3:$A$502,0)</f>
        <v>105</v>
      </c>
      <c r="B2588" s="469" t="s">
        <v>2228</v>
      </c>
      <c r="C2588" s="476"/>
      <c r="D2588" s="474" t="s">
        <v>148</v>
      </c>
      <c r="E2588" s="477" t="s">
        <v>1268</v>
      </c>
      <c r="F2588" s="478" t="str">
        <f>_xlfn.XLOOKUP(B2588,STUDIES!$A$3:$A$1063,STUDIES!$G$3:$G$1063,"Not Found!")</f>
        <v>A</v>
      </c>
      <c r="G2588" s="452" t="s">
        <v>147</v>
      </c>
      <c r="H2588" s="452">
        <v>16</v>
      </c>
      <c r="I2588" s="452">
        <v>79</v>
      </c>
      <c r="J2588" s="453">
        <v>4</v>
      </c>
    </row>
    <row r="2589" spans="1:47" ht="18" customHeight="1" x14ac:dyDescent="0.35">
      <c r="A2589" s="274">
        <f>MATCH(B2589,STUDIES!$A$3:$A$502,0)</f>
        <v>105</v>
      </c>
      <c r="B2589" s="469" t="s">
        <v>2228</v>
      </c>
      <c r="C2589" s="476"/>
      <c r="D2589" s="8" t="s">
        <v>1833</v>
      </c>
      <c r="E2589" s="477" t="s">
        <v>1268</v>
      </c>
      <c r="F2589" s="478" t="str">
        <f>_xlfn.XLOOKUP(B2589,STUDIES!$A$3:$A$1063,STUDIES!$G$3:$G$1063,"Not Found!")</f>
        <v>A</v>
      </c>
      <c r="G2589" s="452" t="s">
        <v>152</v>
      </c>
      <c r="H2589" s="452">
        <v>24</v>
      </c>
      <c r="I2589" s="452">
        <v>77</v>
      </c>
      <c r="J2589" s="453">
        <v>35</v>
      </c>
    </row>
    <row r="2590" spans="1:47" ht="18" customHeight="1" x14ac:dyDescent="0.35">
      <c r="A2590" s="274">
        <f>MATCH(B2590,STUDIES!$A$3:$A$502,0)</f>
        <v>105</v>
      </c>
      <c r="B2590" s="469" t="s">
        <v>2228</v>
      </c>
      <c r="C2590" s="476"/>
      <c r="D2590" s="474" t="s">
        <v>2110</v>
      </c>
      <c r="E2590" s="477" t="s">
        <v>1268</v>
      </c>
      <c r="F2590" s="478" t="str">
        <f>_xlfn.XLOOKUP(B2590,STUDIES!$A$3:$A$1063,STUDIES!$G$3:$G$1063,"Not Found!")</f>
        <v>A</v>
      </c>
      <c r="G2590" s="452" t="s">
        <v>152</v>
      </c>
      <c r="H2590" s="452">
        <v>24</v>
      </c>
      <c r="I2590" s="452">
        <v>78</v>
      </c>
      <c r="J2590" s="453">
        <v>26</v>
      </c>
    </row>
    <row r="2591" spans="1:47" ht="18" customHeight="1" x14ac:dyDescent="0.35">
      <c r="A2591" s="274">
        <f>MATCH(B2591,STUDIES!$A$3:$A$502,0)</f>
        <v>105</v>
      </c>
      <c r="B2591" s="469" t="s">
        <v>2228</v>
      </c>
      <c r="C2591" s="476"/>
      <c r="D2591" s="475" t="s">
        <v>2113</v>
      </c>
      <c r="E2591" s="477" t="s">
        <v>1268</v>
      </c>
      <c r="F2591" s="478" t="str">
        <f>_xlfn.XLOOKUP(B2591,STUDIES!$A$3:$A$1063,STUDIES!$G$3:$G$1063,"Not Found!")</f>
        <v>A</v>
      </c>
      <c r="G2591" s="452" t="s">
        <v>152</v>
      </c>
      <c r="H2591" s="452">
        <v>24</v>
      </c>
      <c r="I2591" s="452">
        <v>77</v>
      </c>
      <c r="J2591" s="453">
        <v>31</v>
      </c>
    </row>
    <row r="2592" spans="1:47" ht="18" customHeight="1" x14ac:dyDescent="0.35">
      <c r="A2592" s="274">
        <f>MATCH(B2592,STUDIES!$A$3:$A$502,0)</f>
        <v>105</v>
      </c>
      <c r="B2592" s="469" t="s">
        <v>2228</v>
      </c>
      <c r="C2592" s="476"/>
      <c r="D2592" s="475" t="s">
        <v>2114</v>
      </c>
      <c r="E2592" s="477" t="s">
        <v>1268</v>
      </c>
      <c r="F2592" s="478" t="str">
        <f>_xlfn.XLOOKUP(B2592,STUDIES!$A$3:$A$1063,STUDIES!$G$3:$G$1063,"Not Found!")</f>
        <v>A</v>
      </c>
      <c r="G2592" s="452" t="s">
        <v>152</v>
      </c>
      <c r="H2592" s="452">
        <v>24</v>
      </c>
      <c r="I2592" s="452">
        <v>79</v>
      </c>
      <c r="J2592" s="453">
        <v>23</v>
      </c>
    </row>
    <row r="2593" spans="1:10" ht="18" customHeight="1" x14ac:dyDescent="0.35">
      <c r="A2593" s="274">
        <f>MATCH(B2593,STUDIES!$A$3:$A$502,0)</f>
        <v>105</v>
      </c>
      <c r="B2593" s="469" t="s">
        <v>2228</v>
      </c>
      <c r="C2593" s="476"/>
      <c r="D2593" s="474" t="s">
        <v>148</v>
      </c>
      <c r="E2593" s="477" t="s">
        <v>1268</v>
      </c>
      <c r="F2593" s="478" t="str">
        <f>_xlfn.XLOOKUP(B2593,STUDIES!$A$3:$A$1063,STUDIES!$G$3:$G$1063,"Not Found!")</f>
        <v>A</v>
      </c>
      <c r="G2593" s="452" t="s">
        <v>152</v>
      </c>
      <c r="H2593" s="452">
        <v>24</v>
      </c>
      <c r="I2593" s="452">
        <v>79</v>
      </c>
      <c r="J2593" s="453">
        <v>9</v>
      </c>
    </row>
    <row r="2594" spans="1:10" ht="18" customHeight="1" x14ac:dyDescent="0.35">
      <c r="A2594" s="274">
        <f>MATCH(B2594,STUDIES!$A$3:$A$502,0)</f>
        <v>105</v>
      </c>
      <c r="B2594" s="469" t="s">
        <v>2228</v>
      </c>
      <c r="C2594" s="476"/>
      <c r="D2594" s="8" t="s">
        <v>1833</v>
      </c>
      <c r="E2594" s="272" t="s">
        <v>1243</v>
      </c>
      <c r="F2594" s="155" t="str">
        <f>_xlfn.XLOOKUP(B2594,STUDIES!$A$3:$A$1063,STUDIES!$G$3:$G$1063,"Not Found!")</f>
        <v>A</v>
      </c>
      <c r="G2594" s="452" t="s">
        <v>1836</v>
      </c>
      <c r="H2594" s="452">
        <v>16</v>
      </c>
      <c r="I2594" s="452">
        <v>77</v>
      </c>
      <c r="J2594" s="453">
        <v>31</v>
      </c>
    </row>
    <row r="2595" spans="1:10" ht="18" customHeight="1" x14ac:dyDescent="0.35">
      <c r="A2595" s="274">
        <f>MATCH(B2595,STUDIES!$A$3:$A$502,0)</f>
        <v>105</v>
      </c>
      <c r="B2595" s="469" t="s">
        <v>2228</v>
      </c>
      <c r="C2595" s="476"/>
      <c r="D2595" s="474" t="s">
        <v>2110</v>
      </c>
      <c r="E2595" s="272" t="s">
        <v>1243</v>
      </c>
      <c r="F2595" s="155" t="str">
        <f>_xlfn.XLOOKUP(B2595,STUDIES!$A$3:$A$1063,STUDIES!$G$3:$G$1063,"Not Found!")</f>
        <v>A</v>
      </c>
      <c r="G2595" s="452" t="s">
        <v>147</v>
      </c>
      <c r="H2595" s="452">
        <v>16</v>
      </c>
      <c r="I2595" s="452">
        <v>78</v>
      </c>
      <c r="J2595" s="453">
        <v>30</v>
      </c>
    </row>
    <row r="2596" spans="1:10" ht="18" customHeight="1" x14ac:dyDescent="0.35">
      <c r="A2596" s="274">
        <f>MATCH(B2596,STUDIES!$A$3:$A$502,0)</f>
        <v>105</v>
      </c>
      <c r="B2596" s="469" t="s">
        <v>2228</v>
      </c>
      <c r="C2596" s="476"/>
      <c r="D2596" s="475" t="s">
        <v>2113</v>
      </c>
      <c r="E2596" s="272" t="s">
        <v>1243</v>
      </c>
      <c r="F2596" s="155" t="str">
        <f>_xlfn.XLOOKUP(B2596,STUDIES!$A$3:$A$1063,STUDIES!$G$3:$G$1063,"Not Found!")</f>
        <v>A</v>
      </c>
      <c r="G2596" s="452" t="s">
        <v>147</v>
      </c>
      <c r="H2596" s="452">
        <v>16</v>
      </c>
      <c r="I2596" s="452">
        <v>77</v>
      </c>
      <c r="J2596" s="453">
        <v>33</v>
      </c>
    </row>
    <row r="2597" spans="1:10" ht="18" customHeight="1" x14ac:dyDescent="0.35">
      <c r="A2597" s="274">
        <f>MATCH(B2597,STUDIES!$A$3:$A$502,0)</f>
        <v>105</v>
      </c>
      <c r="B2597" s="469" t="s">
        <v>2228</v>
      </c>
      <c r="C2597" s="476"/>
      <c r="D2597" s="475" t="s">
        <v>2114</v>
      </c>
      <c r="E2597" s="272" t="s">
        <v>1243</v>
      </c>
      <c r="F2597" s="155" t="str">
        <f>_xlfn.XLOOKUP(B2597,STUDIES!$A$3:$A$1063,STUDIES!$G$3:$G$1063,"Not Found!")</f>
        <v>A</v>
      </c>
      <c r="G2597" s="452" t="s">
        <v>147</v>
      </c>
      <c r="H2597" s="452">
        <v>16</v>
      </c>
      <c r="I2597" s="452">
        <v>79</v>
      </c>
      <c r="J2597" s="453">
        <v>32</v>
      </c>
    </row>
    <row r="2598" spans="1:10" ht="18" customHeight="1" x14ac:dyDescent="0.35">
      <c r="A2598" s="274">
        <f>MATCH(B2598,STUDIES!$A$3:$A$502,0)</f>
        <v>105</v>
      </c>
      <c r="B2598" s="469" t="s">
        <v>2228</v>
      </c>
      <c r="C2598" s="476"/>
      <c r="D2598" s="474" t="s">
        <v>148</v>
      </c>
      <c r="E2598" s="272" t="s">
        <v>1243</v>
      </c>
      <c r="F2598" s="155" t="str">
        <f>_xlfn.XLOOKUP(B2598,STUDIES!$A$3:$A$1063,STUDIES!$G$3:$G$1063,"Not Found!")</f>
        <v>A</v>
      </c>
      <c r="G2598" s="452" t="s">
        <v>147</v>
      </c>
      <c r="H2598" s="452">
        <v>16</v>
      </c>
      <c r="I2598" s="452">
        <v>79</v>
      </c>
      <c r="J2598" s="453">
        <v>9</v>
      </c>
    </row>
    <row r="2599" spans="1:10" ht="18" customHeight="1" x14ac:dyDescent="0.35">
      <c r="A2599" s="274">
        <f>MATCH(B2599,STUDIES!$A$3:$A$502,0)</f>
        <v>105</v>
      </c>
      <c r="B2599" s="469" t="s">
        <v>2228</v>
      </c>
      <c r="C2599" s="476"/>
      <c r="D2599" s="8" t="s">
        <v>1833</v>
      </c>
      <c r="E2599" s="272" t="s">
        <v>1243</v>
      </c>
      <c r="F2599" s="155" t="str">
        <f>_xlfn.XLOOKUP(B2599,STUDIES!$A$3:$A$1063,STUDIES!$G$3:$G$1063,"Not Found!")</f>
        <v>A</v>
      </c>
      <c r="G2599" s="452" t="s">
        <v>152</v>
      </c>
      <c r="H2599" s="452">
        <v>24</v>
      </c>
      <c r="I2599" s="452">
        <v>77</v>
      </c>
      <c r="J2599" s="453">
        <v>42</v>
      </c>
    </row>
    <row r="2600" spans="1:10" ht="18" customHeight="1" x14ac:dyDescent="0.35">
      <c r="A2600" s="274">
        <f>MATCH(B2600,STUDIES!$A$3:$A$502,0)</f>
        <v>105</v>
      </c>
      <c r="B2600" s="469" t="s">
        <v>2228</v>
      </c>
      <c r="C2600" s="476"/>
      <c r="D2600" s="474" t="s">
        <v>2110</v>
      </c>
      <c r="E2600" s="272" t="s">
        <v>1243</v>
      </c>
      <c r="F2600" s="155" t="str">
        <f>_xlfn.XLOOKUP(B2600,STUDIES!$A$3:$A$1063,STUDIES!$G$3:$G$1063,"Not Found!")</f>
        <v>A</v>
      </c>
      <c r="G2600" s="452" t="s">
        <v>152</v>
      </c>
      <c r="H2600" s="452">
        <v>24</v>
      </c>
      <c r="I2600" s="452">
        <v>78</v>
      </c>
      <c r="J2600" s="453">
        <v>30</v>
      </c>
    </row>
    <row r="2601" spans="1:10" ht="18" customHeight="1" x14ac:dyDescent="0.35">
      <c r="A2601" s="274">
        <f>MATCH(B2601,STUDIES!$A$3:$A$502,0)</f>
        <v>105</v>
      </c>
      <c r="B2601" s="469" t="s">
        <v>2228</v>
      </c>
      <c r="C2601" s="476"/>
      <c r="D2601" s="475" t="s">
        <v>2113</v>
      </c>
      <c r="E2601" s="272" t="s">
        <v>1243</v>
      </c>
      <c r="F2601" s="155" t="str">
        <f>_xlfn.XLOOKUP(B2601,STUDIES!$A$3:$A$1063,STUDIES!$G$3:$G$1063,"Not Found!")</f>
        <v>A</v>
      </c>
      <c r="G2601" s="452" t="s">
        <v>152</v>
      </c>
      <c r="H2601" s="452">
        <v>24</v>
      </c>
      <c r="I2601" s="452">
        <v>77</v>
      </c>
      <c r="J2601" s="453">
        <v>38</v>
      </c>
    </row>
    <row r="2602" spans="1:10" ht="18" customHeight="1" x14ac:dyDescent="0.35">
      <c r="A2602" s="274">
        <f>MATCH(B2602,STUDIES!$A$3:$A$502,0)</f>
        <v>105</v>
      </c>
      <c r="B2602" s="469" t="s">
        <v>2228</v>
      </c>
      <c r="C2602" s="476"/>
      <c r="D2602" s="475" t="s">
        <v>2114</v>
      </c>
      <c r="E2602" s="272" t="s">
        <v>1243</v>
      </c>
      <c r="F2602" s="155" t="str">
        <f>_xlfn.XLOOKUP(B2602,STUDIES!$A$3:$A$1063,STUDIES!$G$3:$G$1063,"Not Found!")</f>
        <v>A</v>
      </c>
      <c r="G2602" s="452" t="s">
        <v>152</v>
      </c>
      <c r="H2602" s="452">
        <v>24</v>
      </c>
      <c r="I2602" s="452">
        <v>79</v>
      </c>
      <c r="J2602" s="453">
        <v>32</v>
      </c>
    </row>
    <row r="2603" spans="1:10" ht="18" customHeight="1" x14ac:dyDescent="0.35">
      <c r="A2603" s="274">
        <f>MATCH(B2603,STUDIES!$A$3:$A$502,0)</f>
        <v>105</v>
      </c>
      <c r="B2603" s="469" t="s">
        <v>2228</v>
      </c>
      <c r="C2603" s="476"/>
      <c r="D2603" s="474" t="s">
        <v>148</v>
      </c>
      <c r="E2603" s="272" t="s">
        <v>1243</v>
      </c>
      <c r="F2603" s="155" t="str">
        <f>_xlfn.XLOOKUP(B2603,STUDIES!$A$3:$A$1063,STUDIES!$G$3:$G$1063,"Not Found!")</f>
        <v>A</v>
      </c>
      <c r="G2603" s="452" t="s">
        <v>152</v>
      </c>
      <c r="H2603" s="452">
        <v>24</v>
      </c>
      <c r="I2603" s="452">
        <v>79</v>
      </c>
      <c r="J2603" s="453">
        <v>14</v>
      </c>
    </row>
    <row r="2604" spans="1:10" ht="18" customHeight="1" x14ac:dyDescent="0.35">
      <c r="A2604" s="274">
        <f>MATCH(B2604,STUDIES!$A$3:$A$502,0)</f>
        <v>105</v>
      </c>
      <c r="B2604" s="469" t="s">
        <v>2228</v>
      </c>
      <c r="C2604" s="476"/>
      <c r="D2604" s="8" t="s">
        <v>1833</v>
      </c>
      <c r="E2604" s="272" t="s">
        <v>1167</v>
      </c>
      <c r="F2604" s="155" t="str">
        <f>_xlfn.XLOOKUP(B2604,STUDIES!$A$3:$A$1063,STUDIES!$G$3:$G$1063,"Not Found!")</f>
        <v>A</v>
      </c>
      <c r="G2604" s="452" t="s">
        <v>152</v>
      </c>
      <c r="H2604" s="452">
        <v>24</v>
      </c>
      <c r="I2604" s="452">
        <v>77</v>
      </c>
      <c r="J2604" s="453">
        <v>3</v>
      </c>
    </row>
    <row r="2605" spans="1:10" ht="18" customHeight="1" x14ac:dyDescent="0.35">
      <c r="A2605" s="274">
        <f>MATCH(B2605,STUDIES!$A$3:$A$502,0)</f>
        <v>105</v>
      </c>
      <c r="B2605" s="469" t="s">
        <v>2228</v>
      </c>
      <c r="C2605" s="476"/>
      <c r="D2605" s="474" t="s">
        <v>2110</v>
      </c>
      <c r="E2605" s="272" t="s">
        <v>1167</v>
      </c>
      <c r="F2605" s="155" t="str">
        <f>_xlfn.XLOOKUP(B2605,STUDIES!$A$3:$A$1063,STUDIES!$G$3:$G$1063,"Not Found!")</f>
        <v>A</v>
      </c>
      <c r="G2605" s="452" t="s">
        <v>152</v>
      </c>
      <c r="H2605" s="452">
        <v>24</v>
      </c>
      <c r="I2605" s="452">
        <v>78</v>
      </c>
      <c r="J2605" s="453">
        <v>5</v>
      </c>
    </row>
    <row r="2606" spans="1:10" ht="18" customHeight="1" x14ac:dyDescent="0.35">
      <c r="A2606" s="274">
        <f>MATCH(B2606,STUDIES!$A$3:$A$502,0)</f>
        <v>105</v>
      </c>
      <c r="B2606" s="469" t="s">
        <v>2228</v>
      </c>
      <c r="C2606" s="476"/>
      <c r="D2606" s="475" t="s">
        <v>2113</v>
      </c>
      <c r="E2606" s="272" t="s">
        <v>1167</v>
      </c>
      <c r="F2606" s="155" t="str">
        <f>_xlfn.XLOOKUP(B2606,STUDIES!$A$3:$A$1063,STUDIES!$G$3:$G$1063,"Not Found!")</f>
        <v>A</v>
      </c>
      <c r="G2606" s="452" t="s">
        <v>152</v>
      </c>
      <c r="H2606" s="452">
        <v>24</v>
      </c>
      <c r="I2606" s="452">
        <v>77</v>
      </c>
      <c r="J2606" s="453">
        <v>1</v>
      </c>
    </row>
    <row r="2607" spans="1:10" ht="18" customHeight="1" x14ac:dyDescent="0.35">
      <c r="A2607" s="274">
        <f>MATCH(B2607,STUDIES!$A$3:$A$502,0)</f>
        <v>105</v>
      </c>
      <c r="B2607" s="469" t="s">
        <v>2228</v>
      </c>
      <c r="C2607" s="476"/>
      <c r="D2607" s="475" t="s">
        <v>2114</v>
      </c>
      <c r="E2607" s="272" t="s">
        <v>1167</v>
      </c>
      <c r="F2607" s="155" t="str">
        <f>_xlfn.XLOOKUP(B2607,STUDIES!$A$3:$A$1063,STUDIES!$G$3:$G$1063,"Not Found!")</f>
        <v>A</v>
      </c>
      <c r="G2607" s="452" t="s">
        <v>152</v>
      </c>
      <c r="H2607" s="452">
        <v>24</v>
      </c>
      <c r="I2607" s="452">
        <v>79</v>
      </c>
      <c r="J2607" s="453">
        <v>6</v>
      </c>
    </row>
    <row r="2608" spans="1:10" ht="18" customHeight="1" x14ac:dyDescent="0.35">
      <c r="A2608" s="274">
        <f>MATCH(B2608,STUDIES!$A$3:$A$502,0)</f>
        <v>105</v>
      </c>
      <c r="B2608" s="469" t="s">
        <v>2228</v>
      </c>
      <c r="C2608" s="476"/>
      <c r="D2608" s="474" t="s">
        <v>148</v>
      </c>
      <c r="E2608" s="272" t="s">
        <v>1167</v>
      </c>
      <c r="F2608" s="155" t="str">
        <f>_xlfn.XLOOKUP(B2608,STUDIES!$A$3:$A$1063,STUDIES!$G$3:$G$1063,"Not Found!")</f>
        <v>A</v>
      </c>
      <c r="G2608" s="452" t="s">
        <v>152</v>
      </c>
      <c r="H2608" s="452">
        <v>24</v>
      </c>
      <c r="I2608" s="452">
        <v>79</v>
      </c>
      <c r="J2608" s="453">
        <v>4</v>
      </c>
    </row>
    <row r="2609" spans="1:10" ht="18" customHeight="1" x14ac:dyDescent="0.35">
      <c r="A2609" s="274">
        <f>MATCH(B2609,STUDIES!$A$3:$A$502,0)</f>
        <v>105</v>
      </c>
      <c r="B2609" s="469" t="s">
        <v>2228</v>
      </c>
      <c r="C2609" s="476"/>
      <c r="D2609" s="8" t="s">
        <v>1833</v>
      </c>
      <c r="E2609" s="272" t="s">
        <v>1163</v>
      </c>
      <c r="F2609" s="155" t="str">
        <f>_xlfn.XLOOKUP(B2609,STUDIES!$A$3:$A$1063,STUDIES!$G$3:$G$1063,"Not Found!")</f>
        <v>A</v>
      </c>
      <c r="G2609" s="452" t="s">
        <v>152</v>
      </c>
      <c r="H2609" s="452">
        <v>24</v>
      </c>
      <c r="I2609" s="452">
        <v>77</v>
      </c>
      <c r="J2609" s="453">
        <v>2</v>
      </c>
    </row>
    <row r="2610" spans="1:10" ht="18" customHeight="1" x14ac:dyDescent="0.35">
      <c r="A2610" s="274">
        <f>MATCH(B2610,STUDIES!$A$3:$A$502,0)</f>
        <v>105</v>
      </c>
      <c r="B2610" s="469" t="s">
        <v>2228</v>
      </c>
      <c r="C2610" s="476"/>
      <c r="D2610" s="474" t="s">
        <v>2110</v>
      </c>
      <c r="E2610" s="272" t="s">
        <v>1163</v>
      </c>
      <c r="F2610" s="155" t="str">
        <f>_xlfn.XLOOKUP(B2610,STUDIES!$A$3:$A$1063,STUDIES!$G$3:$G$1063,"Not Found!")</f>
        <v>A</v>
      </c>
      <c r="G2610" s="452" t="s">
        <v>152</v>
      </c>
      <c r="H2610" s="452">
        <v>24</v>
      </c>
      <c r="I2610" s="452">
        <v>78</v>
      </c>
      <c r="J2610" s="453">
        <v>0</v>
      </c>
    </row>
    <row r="2611" spans="1:10" ht="18" customHeight="1" x14ac:dyDescent="0.35">
      <c r="A2611" s="274">
        <f>MATCH(B2611,STUDIES!$A$3:$A$502,0)</f>
        <v>105</v>
      </c>
      <c r="B2611" s="469" t="s">
        <v>2228</v>
      </c>
      <c r="C2611" s="476"/>
      <c r="D2611" s="475" t="s">
        <v>2113</v>
      </c>
      <c r="E2611" s="272" t="s">
        <v>1163</v>
      </c>
      <c r="F2611" s="155" t="str">
        <f>_xlfn.XLOOKUP(B2611,STUDIES!$A$3:$A$1063,STUDIES!$G$3:$G$1063,"Not Found!")</f>
        <v>A</v>
      </c>
      <c r="G2611" s="452" t="s">
        <v>152</v>
      </c>
      <c r="H2611" s="452">
        <v>24</v>
      </c>
      <c r="I2611" s="452">
        <v>77</v>
      </c>
      <c r="J2611" s="453">
        <v>1</v>
      </c>
    </row>
    <row r="2612" spans="1:10" ht="18" customHeight="1" x14ac:dyDescent="0.35">
      <c r="A2612" s="274">
        <f>MATCH(B2612,STUDIES!$A$3:$A$502,0)</f>
        <v>105</v>
      </c>
      <c r="B2612" s="469" t="s">
        <v>2228</v>
      </c>
      <c r="C2612" s="476"/>
      <c r="D2612" s="475" t="s">
        <v>2114</v>
      </c>
      <c r="E2612" s="272" t="s">
        <v>1163</v>
      </c>
      <c r="F2612" s="155" t="str">
        <f>_xlfn.XLOOKUP(B2612,STUDIES!$A$3:$A$1063,STUDIES!$G$3:$G$1063,"Not Found!")</f>
        <v>A</v>
      </c>
      <c r="G2612" s="452" t="s">
        <v>152</v>
      </c>
      <c r="H2612" s="452">
        <v>24</v>
      </c>
      <c r="I2612" s="452">
        <v>79</v>
      </c>
      <c r="J2612" s="453">
        <v>5</v>
      </c>
    </row>
    <row r="2613" spans="1:10" ht="18" customHeight="1" x14ac:dyDescent="0.35">
      <c r="A2613" s="274">
        <f>MATCH(B2613,STUDIES!$A$3:$A$502,0)</f>
        <v>105</v>
      </c>
      <c r="B2613" s="469" t="s">
        <v>2228</v>
      </c>
      <c r="C2613" s="476"/>
      <c r="D2613" s="474" t="s">
        <v>148</v>
      </c>
      <c r="E2613" s="272" t="s">
        <v>1163</v>
      </c>
      <c r="F2613" s="155" t="str">
        <f>_xlfn.XLOOKUP(B2613,STUDIES!$A$3:$A$1063,STUDIES!$G$3:$G$1063,"Not Found!")</f>
        <v>A</v>
      </c>
      <c r="G2613" s="452" t="s">
        <v>152</v>
      </c>
      <c r="H2613" s="452">
        <v>24</v>
      </c>
      <c r="I2613" s="452">
        <v>79</v>
      </c>
      <c r="J2613" s="453">
        <v>1</v>
      </c>
    </row>
    <row r="2614" spans="1:10" ht="18" customHeight="1" x14ac:dyDescent="0.35">
      <c r="A2614" s="274">
        <f>MATCH(B2614,STUDIES!$A$3:$A$502,0)</f>
        <v>105</v>
      </c>
      <c r="B2614" s="469" t="s">
        <v>2228</v>
      </c>
      <c r="C2614" s="476"/>
      <c r="D2614" s="8" t="s">
        <v>1833</v>
      </c>
      <c r="E2614" s="272" t="s">
        <v>1258</v>
      </c>
      <c r="F2614" s="155" t="str">
        <f>_xlfn.XLOOKUP(B2614,STUDIES!$A$3:$A$1063,STUDIES!$G$3:$G$1063,"Not Found!")</f>
        <v>A</v>
      </c>
      <c r="G2614" s="452" t="s">
        <v>1836</v>
      </c>
      <c r="H2614" s="452">
        <v>16</v>
      </c>
      <c r="I2614" s="452">
        <v>77</v>
      </c>
      <c r="J2614" s="453">
        <f>0.636*I2614</f>
        <v>48.972000000000001</v>
      </c>
    </row>
    <row r="2615" spans="1:10" ht="18" customHeight="1" x14ac:dyDescent="0.35">
      <c r="A2615" s="274">
        <f>MATCH(B2615,STUDIES!$A$3:$A$502,0)</f>
        <v>105</v>
      </c>
      <c r="B2615" s="469" t="s">
        <v>2228</v>
      </c>
      <c r="C2615" s="476"/>
      <c r="D2615" s="474" t="s">
        <v>2110</v>
      </c>
      <c r="E2615" s="272" t="s">
        <v>1258</v>
      </c>
      <c r="F2615" s="155" t="str">
        <f>_xlfn.XLOOKUP(B2615,STUDIES!$A$3:$A$1063,STUDIES!$G$3:$G$1063,"Not Found!")</f>
        <v>A</v>
      </c>
      <c r="G2615" s="452" t="s">
        <v>147</v>
      </c>
      <c r="H2615" s="452">
        <v>16</v>
      </c>
      <c r="I2615" s="452">
        <v>78</v>
      </c>
      <c r="J2615" s="453">
        <f>0.526*I2615</f>
        <v>41.027999999999999</v>
      </c>
    </row>
    <row r="2616" spans="1:10" ht="18" customHeight="1" x14ac:dyDescent="0.35">
      <c r="A2616" s="274">
        <f>MATCH(B2616,STUDIES!$A$3:$A$502,0)</f>
        <v>105</v>
      </c>
      <c r="B2616" s="469" t="s">
        <v>2228</v>
      </c>
      <c r="C2616" s="476"/>
      <c r="D2616" s="475" t="s">
        <v>2113</v>
      </c>
      <c r="E2616" s="272" t="s">
        <v>1258</v>
      </c>
      <c r="F2616" s="155" t="str">
        <f>_xlfn.XLOOKUP(B2616,STUDIES!$A$3:$A$1063,STUDIES!$G$3:$G$1063,"Not Found!")</f>
        <v>A</v>
      </c>
      <c r="G2616" s="452" t="s">
        <v>147</v>
      </c>
      <c r="H2616" s="452">
        <v>16</v>
      </c>
      <c r="I2616" s="452">
        <v>77</v>
      </c>
      <c r="J2616" s="453">
        <f>0.571*I2616</f>
        <v>43.966999999999999</v>
      </c>
    </row>
    <row r="2617" spans="1:10" ht="18" customHeight="1" x14ac:dyDescent="0.35">
      <c r="A2617" s="274">
        <f>MATCH(B2617,STUDIES!$A$3:$A$502,0)</f>
        <v>105</v>
      </c>
      <c r="B2617" s="469" t="s">
        <v>2228</v>
      </c>
      <c r="C2617" s="476"/>
      <c r="D2617" s="475" t="s">
        <v>2114</v>
      </c>
      <c r="E2617" s="272" t="s">
        <v>1258</v>
      </c>
      <c r="F2617" s="155" t="str">
        <f>_xlfn.XLOOKUP(B2617,STUDIES!$A$3:$A$1063,STUDIES!$G$3:$G$1063,"Not Found!")</f>
        <v>A</v>
      </c>
      <c r="G2617" s="452" t="s">
        <v>147</v>
      </c>
      <c r="H2617" s="452">
        <v>16</v>
      </c>
      <c r="I2617" s="452">
        <v>79</v>
      </c>
      <c r="J2617" s="453">
        <f>0.658*I2617</f>
        <v>51.981999999999999</v>
      </c>
    </row>
    <row r="2618" spans="1:10" ht="18" customHeight="1" x14ac:dyDescent="0.35">
      <c r="A2618" s="274">
        <f>MATCH(B2618,STUDIES!$A$3:$A$502,0)</f>
        <v>105</v>
      </c>
      <c r="B2618" s="469" t="s">
        <v>2228</v>
      </c>
      <c r="C2618" s="476"/>
      <c r="D2618" s="474" t="s">
        <v>148</v>
      </c>
      <c r="E2618" s="272" t="s">
        <v>1258</v>
      </c>
      <c r="F2618" s="155" t="str">
        <f>_xlfn.XLOOKUP(B2618,STUDIES!$A$3:$A$1063,STUDIES!$G$3:$G$1063,"Not Found!")</f>
        <v>A</v>
      </c>
      <c r="G2618" s="452" t="s">
        <v>147</v>
      </c>
      <c r="H2618" s="452">
        <v>16</v>
      </c>
      <c r="I2618" s="452">
        <v>79</v>
      </c>
      <c r="J2618" s="453">
        <f>0.278*I2618</f>
        <v>21.962000000000003</v>
      </c>
    </row>
    <row r="2619" spans="1:10" ht="18" customHeight="1" x14ac:dyDescent="0.35">
      <c r="A2619" s="274">
        <f>MATCH(B2619,STUDIES!$A$3:$A$502,0)</f>
        <v>105</v>
      </c>
      <c r="B2619" s="469" t="s">
        <v>2228</v>
      </c>
      <c r="C2619" s="476"/>
      <c r="D2619" s="8" t="s">
        <v>1833</v>
      </c>
      <c r="E2619" s="272" t="s">
        <v>1258</v>
      </c>
      <c r="F2619" s="155" t="str">
        <f>_xlfn.XLOOKUP(B2619,STUDIES!$A$3:$A$1063,STUDIES!$G$3:$G$1063,"Not Found!")</f>
        <v>A</v>
      </c>
      <c r="G2619" s="452" t="s">
        <v>152</v>
      </c>
      <c r="H2619" s="452">
        <v>24</v>
      </c>
      <c r="I2619" s="452">
        <v>77</v>
      </c>
      <c r="J2619" s="453">
        <f>0.662*I2619</f>
        <v>50.974000000000004</v>
      </c>
    </row>
    <row r="2620" spans="1:10" ht="18" customHeight="1" x14ac:dyDescent="0.35">
      <c r="A2620" s="274">
        <f>MATCH(B2620,STUDIES!$A$3:$A$502,0)</f>
        <v>105</v>
      </c>
      <c r="B2620" s="469" t="s">
        <v>2228</v>
      </c>
      <c r="C2620" s="476"/>
      <c r="D2620" s="474" t="s">
        <v>2110</v>
      </c>
      <c r="E2620" s="272" t="s">
        <v>1258</v>
      </c>
      <c r="F2620" s="155" t="str">
        <f>_xlfn.XLOOKUP(B2620,STUDIES!$A$3:$A$1063,STUDIES!$G$3:$G$1063,"Not Found!")</f>
        <v>A</v>
      </c>
      <c r="G2620" s="452" t="s">
        <v>152</v>
      </c>
      <c r="H2620" s="452">
        <v>24</v>
      </c>
      <c r="I2620" s="452">
        <v>78</v>
      </c>
      <c r="J2620" s="453">
        <f>0.436*I2620</f>
        <v>34.008000000000003</v>
      </c>
    </row>
    <row r="2621" spans="1:10" ht="18" customHeight="1" x14ac:dyDescent="0.35">
      <c r="A2621" s="274">
        <f>MATCH(B2621,STUDIES!$A$3:$A$502,0)</f>
        <v>105</v>
      </c>
      <c r="B2621" s="469" t="s">
        <v>2228</v>
      </c>
      <c r="C2621" s="476"/>
      <c r="D2621" s="475" t="s">
        <v>2113</v>
      </c>
      <c r="E2621" s="272" t="s">
        <v>1258</v>
      </c>
      <c r="F2621" s="155" t="str">
        <f>_xlfn.XLOOKUP(B2621,STUDIES!$A$3:$A$1063,STUDIES!$G$3:$G$1063,"Not Found!")</f>
        <v>A</v>
      </c>
      <c r="G2621" s="452" t="s">
        <v>152</v>
      </c>
      <c r="H2621" s="452">
        <v>24</v>
      </c>
      <c r="I2621" s="452">
        <v>77</v>
      </c>
      <c r="J2621" s="453">
        <f>0.558*I2621</f>
        <v>42.966000000000001</v>
      </c>
    </row>
    <row r="2622" spans="1:10" ht="18" customHeight="1" x14ac:dyDescent="0.35">
      <c r="A2622" s="274">
        <f>MATCH(B2622,STUDIES!$A$3:$A$502,0)</f>
        <v>105</v>
      </c>
      <c r="B2622" s="469" t="s">
        <v>2228</v>
      </c>
      <c r="C2622" s="476"/>
      <c r="D2622" s="475" t="s">
        <v>2114</v>
      </c>
      <c r="E2622" s="272" t="s">
        <v>1258</v>
      </c>
      <c r="F2622" s="155" t="str">
        <f>_xlfn.XLOOKUP(B2622,STUDIES!$A$3:$A$1063,STUDIES!$G$3:$G$1063,"Not Found!")</f>
        <v>A</v>
      </c>
      <c r="G2622" s="452" t="s">
        <v>152</v>
      </c>
      <c r="H2622" s="452">
        <v>24</v>
      </c>
      <c r="I2622" s="452">
        <v>79</v>
      </c>
      <c r="J2622" s="453">
        <f>0.532*I2622</f>
        <v>42.028000000000006</v>
      </c>
    </row>
    <row r="2623" spans="1:10" ht="18" customHeight="1" x14ac:dyDescent="0.35">
      <c r="A2623" s="274">
        <f>MATCH(B2623,STUDIES!$A$3:$A$502,0)</f>
        <v>105</v>
      </c>
      <c r="B2623" s="469" t="s">
        <v>2228</v>
      </c>
      <c r="C2623" s="476"/>
      <c r="D2623" s="474" t="s">
        <v>148</v>
      </c>
      <c r="E2623" s="272" t="s">
        <v>1258</v>
      </c>
      <c r="F2623" s="155" t="str">
        <f>_xlfn.XLOOKUP(B2623,STUDIES!$A$3:$A$1063,STUDIES!$G$3:$G$1063,"Not Found!")</f>
        <v>A</v>
      </c>
      <c r="G2623" s="452" t="s">
        <v>152</v>
      </c>
      <c r="H2623" s="452">
        <v>24</v>
      </c>
      <c r="I2623" s="452">
        <v>79</v>
      </c>
      <c r="J2623" s="453">
        <f>0.241*I2623</f>
        <v>19.038999999999998</v>
      </c>
    </row>
    <row r="2624" spans="1:10" ht="18" customHeight="1" x14ac:dyDescent="0.35">
      <c r="A2624" s="274">
        <f>MATCH(B2624,STUDIES!$A$3:$A$502,0)</f>
        <v>105</v>
      </c>
      <c r="B2624" s="469" t="s">
        <v>2228</v>
      </c>
      <c r="C2624" s="476"/>
      <c r="D2624" s="8" t="s">
        <v>1833</v>
      </c>
      <c r="E2624" s="272" t="s">
        <v>1244</v>
      </c>
      <c r="F2624" s="155" t="str">
        <f>_xlfn.XLOOKUP(B2624,STUDIES!$A$3:$A$1063,STUDIES!$G$3:$G$1063,"Not Found!")</f>
        <v>A</v>
      </c>
      <c r="G2624" s="452" t="s">
        <v>1836</v>
      </c>
      <c r="H2624" s="452">
        <v>16</v>
      </c>
      <c r="I2624" s="452">
        <v>77</v>
      </c>
      <c r="J2624" s="453">
        <f>0.156*I2624</f>
        <v>12.012</v>
      </c>
    </row>
    <row r="2625" spans="1:47" ht="18" customHeight="1" x14ac:dyDescent="0.35">
      <c r="A2625" s="274">
        <f>MATCH(B2625,STUDIES!$A$3:$A$502,0)</f>
        <v>105</v>
      </c>
      <c r="B2625" s="469" t="s">
        <v>2228</v>
      </c>
      <c r="C2625" s="476"/>
      <c r="D2625" s="474" t="s">
        <v>2110</v>
      </c>
      <c r="E2625" s="272" t="s">
        <v>1244</v>
      </c>
      <c r="F2625" s="155" t="str">
        <f>_xlfn.XLOOKUP(B2625,STUDIES!$A$3:$A$1063,STUDIES!$G$3:$G$1063,"Not Found!")</f>
        <v>A</v>
      </c>
      <c r="G2625" s="452" t="s">
        <v>147</v>
      </c>
      <c r="H2625" s="452">
        <v>16</v>
      </c>
      <c r="I2625" s="452">
        <v>78</v>
      </c>
      <c r="J2625" s="453">
        <f>0.141*I2625</f>
        <v>10.997999999999999</v>
      </c>
    </row>
    <row r="2626" spans="1:47" ht="18" customHeight="1" x14ac:dyDescent="0.35">
      <c r="A2626" s="274">
        <f>MATCH(B2626,STUDIES!$A$3:$A$502,0)</f>
        <v>105</v>
      </c>
      <c r="B2626" s="469" t="s">
        <v>2228</v>
      </c>
      <c r="C2626" s="476"/>
      <c r="D2626" s="475" t="s">
        <v>2113</v>
      </c>
      <c r="E2626" s="272" t="s">
        <v>1244</v>
      </c>
      <c r="F2626" s="155" t="str">
        <f>_xlfn.XLOOKUP(B2626,STUDIES!$A$3:$A$1063,STUDIES!$G$3:$G$1063,"Not Found!")</f>
        <v>A</v>
      </c>
      <c r="G2626" s="452" t="s">
        <v>147</v>
      </c>
      <c r="H2626" s="452">
        <v>16</v>
      </c>
      <c r="I2626" s="452">
        <v>77</v>
      </c>
      <c r="J2626" s="453">
        <f>0.169*I2626</f>
        <v>13.013000000000002</v>
      </c>
    </row>
    <row r="2627" spans="1:47" ht="18" customHeight="1" x14ac:dyDescent="0.35">
      <c r="A2627" s="274">
        <f>MATCH(B2627,STUDIES!$A$3:$A$502,0)</f>
        <v>105</v>
      </c>
      <c r="B2627" s="469" t="s">
        <v>2228</v>
      </c>
      <c r="C2627" s="476"/>
      <c r="D2627" s="475" t="s">
        <v>2114</v>
      </c>
      <c r="E2627" s="272" t="s">
        <v>1244</v>
      </c>
      <c r="F2627" s="155" t="str">
        <f>_xlfn.XLOOKUP(B2627,STUDIES!$A$3:$A$1063,STUDIES!$G$3:$G$1063,"Not Found!")</f>
        <v>A</v>
      </c>
      <c r="G2627" s="452" t="s">
        <v>147</v>
      </c>
      <c r="H2627" s="452">
        <v>16</v>
      </c>
      <c r="I2627" s="452">
        <v>79</v>
      </c>
      <c r="J2627" s="453">
        <f>0.19*I2627</f>
        <v>15.01</v>
      </c>
    </row>
    <row r="2628" spans="1:47" ht="18" customHeight="1" x14ac:dyDescent="0.35">
      <c r="A2628" s="274">
        <f>MATCH(B2628,STUDIES!$A$3:$A$502,0)</f>
        <v>105</v>
      </c>
      <c r="B2628" s="469" t="s">
        <v>2228</v>
      </c>
      <c r="C2628" s="476"/>
      <c r="D2628" s="474" t="s">
        <v>148</v>
      </c>
      <c r="E2628" s="272" t="s">
        <v>1244</v>
      </c>
      <c r="F2628" s="155" t="str">
        <f>_xlfn.XLOOKUP(B2628,STUDIES!$A$3:$A$1063,STUDIES!$G$3:$G$1063,"Not Found!")</f>
        <v>A</v>
      </c>
      <c r="G2628" s="452" t="s">
        <v>147</v>
      </c>
      <c r="H2628" s="452">
        <v>16</v>
      </c>
      <c r="I2628" s="452">
        <v>79</v>
      </c>
      <c r="J2628" s="453">
        <f>0.038*I2628</f>
        <v>3.0019999999999998</v>
      </c>
    </row>
    <row r="2629" spans="1:47" ht="18" customHeight="1" x14ac:dyDescent="0.35">
      <c r="A2629" s="274">
        <f>MATCH(B2629,STUDIES!$A$3:$A$502,0)</f>
        <v>105</v>
      </c>
      <c r="B2629" s="469" t="s">
        <v>2228</v>
      </c>
      <c r="C2629" s="476"/>
      <c r="D2629" s="8" t="s">
        <v>1833</v>
      </c>
      <c r="E2629" s="272" t="s">
        <v>1244</v>
      </c>
      <c r="F2629" s="155" t="str">
        <f>_xlfn.XLOOKUP(B2629,STUDIES!$A$3:$A$1063,STUDIES!$G$3:$G$1063,"Not Found!")</f>
        <v>A</v>
      </c>
      <c r="G2629" s="452" t="s">
        <v>152</v>
      </c>
      <c r="H2629" s="452">
        <v>24</v>
      </c>
      <c r="I2629" s="452">
        <v>77</v>
      </c>
      <c r="J2629" s="453">
        <f>0.377*I2629</f>
        <v>29.029</v>
      </c>
    </row>
    <row r="2630" spans="1:47" ht="18" customHeight="1" x14ac:dyDescent="0.35">
      <c r="A2630" s="274">
        <f>MATCH(B2630,STUDIES!$A$3:$A$502,0)</f>
        <v>105</v>
      </c>
      <c r="B2630" s="469" t="s">
        <v>2228</v>
      </c>
      <c r="C2630" s="476"/>
      <c r="D2630" s="474" t="s">
        <v>2110</v>
      </c>
      <c r="E2630" s="272" t="s">
        <v>1244</v>
      </c>
      <c r="F2630" s="155" t="str">
        <f>_xlfn.XLOOKUP(B2630,STUDIES!$A$3:$A$1063,STUDIES!$G$3:$G$1063,"Not Found!")</f>
        <v>A</v>
      </c>
      <c r="G2630" s="452" t="s">
        <v>152</v>
      </c>
      <c r="H2630" s="452">
        <v>24</v>
      </c>
      <c r="I2630" s="452">
        <v>78</v>
      </c>
      <c r="J2630" s="453">
        <f>0.269*I2630</f>
        <v>20.982000000000003</v>
      </c>
    </row>
    <row r="2631" spans="1:47" ht="18" customHeight="1" x14ac:dyDescent="0.35">
      <c r="A2631" s="274">
        <f>MATCH(B2631,STUDIES!$A$3:$A$502,0)</f>
        <v>105</v>
      </c>
      <c r="B2631" s="469" t="s">
        <v>2228</v>
      </c>
      <c r="C2631" s="476"/>
      <c r="D2631" s="475" t="s">
        <v>2113</v>
      </c>
      <c r="E2631" s="272" t="s">
        <v>1244</v>
      </c>
      <c r="F2631" s="155" t="str">
        <f>_xlfn.XLOOKUP(B2631,STUDIES!$A$3:$A$1063,STUDIES!$G$3:$G$1063,"Not Found!")</f>
        <v>A</v>
      </c>
      <c r="G2631" s="452" t="s">
        <v>152</v>
      </c>
      <c r="H2631" s="452">
        <v>24</v>
      </c>
      <c r="I2631" s="452">
        <v>77</v>
      </c>
      <c r="J2631" s="453">
        <f>0.325*I2631</f>
        <v>25.025000000000002</v>
      </c>
    </row>
    <row r="2632" spans="1:47" ht="18" customHeight="1" x14ac:dyDescent="0.35">
      <c r="A2632" s="274">
        <f>MATCH(B2632,STUDIES!$A$3:$A$502,0)</f>
        <v>105</v>
      </c>
      <c r="B2632" s="469" t="s">
        <v>2228</v>
      </c>
      <c r="C2632" s="476"/>
      <c r="D2632" s="475" t="s">
        <v>2114</v>
      </c>
      <c r="E2632" s="272" t="s">
        <v>1244</v>
      </c>
      <c r="F2632" s="155" t="str">
        <f>_xlfn.XLOOKUP(B2632,STUDIES!$A$3:$A$1063,STUDIES!$G$3:$G$1063,"Not Found!")</f>
        <v>A</v>
      </c>
      <c r="G2632" s="452" t="s">
        <v>152</v>
      </c>
      <c r="H2632" s="452">
        <v>24</v>
      </c>
      <c r="I2632" s="452">
        <v>79</v>
      </c>
      <c r="J2632" s="453">
        <f>0.241*I2632</f>
        <v>19.038999999999998</v>
      </c>
    </row>
    <row r="2633" spans="1:47" ht="18" customHeight="1" x14ac:dyDescent="0.35">
      <c r="A2633" s="274">
        <f>MATCH(B2633,STUDIES!$A$3:$A$502,0)</f>
        <v>105</v>
      </c>
      <c r="B2633" s="469" t="s">
        <v>2228</v>
      </c>
      <c r="C2633" s="476"/>
      <c r="D2633" s="474" t="s">
        <v>148</v>
      </c>
      <c r="E2633" s="272" t="s">
        <v>1244</v>
      </c>
      <c r="F2633" s="155" t="str">
        <f>_xlfn.XLOOKUP(B2633,STUDIES!$A$3:$A$1063,STUDIES!$G$3:$G$1063,"Not Found!")</f>
        <v>A</v>
      </c>
      <c r="G2633" s="452" t="s">
        <v>152</v>
      </c>
      <c r="H2633" s="452">
        <v>24</v>
      </c>
      <c r="I2633" s="452">
        <v>79</v>
      </c>
      <c r="J2633" s="453">
        <f>0.114*I2633</f>
        <v>9.0060000000000002</v>
      </c>
    </row>
    <row r="2634" spans="1:47" ht="18" customHeight="1" x14ac:dyDescent="0.35">
      <c r="A2634" s="274">
        <f>MATCH(B2634,STUDIES!$A$3:$A$502,0)</f>
        <v>105</v>
      </c>
      <c r="B2634" s="469" t="s">
        <v>2228</v>
      </c>
      <c r="C2634" s="476"/>
      <c r="D2634" s="8" t="s">
        <v>1833</v>
      </c>
      <c r="E2634" s="272" t="s">
        <v>153</v>
      </c>
      <c r="F2634" s="155" t="str">
        <f>_xlfn.XLOOKUP(B2634,STUDIES!$A$3:$A$1063,STUDIES!$G$3:$G$1063,"Not Found!")</f>
        <v>A</v>
      </c>
      <c r="G2634" s="452" t="s">
        <v>1836</v>
      </c>
      <c r="H2634" s="452">
        <v>16</v>
      </c>
      <c r="I2634" s="452">
        <v>77</v>
      </c>
      <c r="J2634" s="453"/>
      <c r="K2634" s="284">
        <v>19.899999999999999</v>
      </c>
      <c r="L2634" s="284"/>
      <c r="M2634" s="284">
        <v>5.12</v>
      </c>
      <c r="N2634" s="284"/>
      <c r="O2634" s="284"/>
      <c r="P2634" s="284"/>
      <c r="Q2634" s="454"/>
      <c r="R2634" s="455"/>
      <c r="S2634" s="284"/>
      <c r="T2634" s="284"/>
      <c r="U2634" s="284"/>
      <c r="V2634" s="284"/>
      <c r="W2634" s="284"/>
      <c r="X2634" s="479"/>
      <c r="Y2634" s="284"/>
      <c r="Z2634" s="284"/>
      <c r="AA2634" s="284"/>
      <c r="AB2634" s="284"/>
      <c r="AC2634" s="284"/>
      <c r="AD2634" s="479"/>
      <c r="AE2634" s="284"/>
      <c r="AF2634" s="284"/>
      <c r="AG2634" s="284"/>
      <c r="AH2634" s="284"/>
      <c r="AI2634" s="284"/>
      <c r="AJ2634" s="479"/>
      <c r="AK2634" s="284"/>
      <c r="AL2634" s="284"/>
      <c r="AM2634" s="284"/>
      <c r="AN2634" s="284"/>
      <c r="AO2634" s="480"/>
      <c r="AP2634" s="284">
        <v>-28</v>
      </c>
      <c r="AQ2634" s="284"/>
      <c r="AR2634" s="284"/>
      <c r="AS2634" s="284">
        <v>-41.4</v>
      </c>
      <c r="AT2634" s="284">
        <v>-14.7</v>
      </c>
      <c r="AU2634" s="480">
        <v>0.95</v>
      </c>
    </row>
    <row r="2635" spans="1:47" ht="18" customHeight="1" x14ac:dyDescent="0.35">
      <c r="A2635" s="274">
        <f>MATCH(B2635,STUDIES!$A$3:$A$502,0)</f>
        <v>105</v>
      </c>
      <c r="B2635" s="469" t="s">
        <v>2228</v>
      </c>
      <c r="C2635" s="476"/>
      <c r="D2635" s="474" t="s">
        <v>2110</v>
      </c>
      <c r="E2635" s="272" t="s">
        <v>153</v>
      </c>
      <c r="F2635" s="155" t="str">
        <f>_xlfn.XLOOKUP(B2635,STUDIES!$A$3:$A$1063,STUDIES!$G$3:$G$1063,"Not Found!")</f>
        <v>A</v>
      </c>
      <c r="G2635" s="452" t="s">
        <v>147</v>
      </c>
      <c r="H2635" s="452">
        <v>16</v>
      </c>
      <c r="I2635" s="452">
        <v>78</v>
      </c>
      <c r="J2635" s="453"/>
      <c r="K2635" s="284">
        <v>19.899999999999999</v>
      </c>
      <c r="L2635" s="284"/>
      <c r="M2635" s="284">
        <v>6.14</v>
      </c>
      <c r="N2635" s="284"/>
      <c r="O2635" s="284"/>
      <c r="P2635" s="284"/>
      <c r="Q2635" s="454"/>
      <c r="R2635" s="455"/>
      <c r="S2635" s="284"/>
      <c r="T2635" s="284"/>
      <c r="U2635" s="284"/>
      <c r="V2635" s="284"/>
      <c r="W2635" s="284"/>
      <c r="X2635" s="479"/>
      <c r="Y2635" s="284"/>
      <c r="Z2635" s="284"/>
      <c r="AA2635" s="284"/>
      <c r="AB2635" s="284"/>
      <c r="AC2635" s="284"/>
      <c r="AD2635" s="479"/>
      <c r="AE2635" s="284"/>
      <c r="AF2635" s="284"/>
      <c r="AG2635" s="284"/>
      <c r="AH2635" s="284"/>
      <c r="AI2635" s="284"/>
      <c r="AJ2635" s="479"/>
      <c r="AK2635" s="284"/>
      <c r="AL2635" s="284"/>
      <c r="AM2635" s="284"/>
      <c r="AN2635" s="284"/>
      <c r="AO2635" s="480"/>
      <c r="AP2635" s="284">
        <v>-25.8</v>
      </c>
      <c r="AQ2635" s="284"/>
      <c r="AR2635" s="284"/>
      <c r="AS2635" s="284">
        <v>-39.200000000000003</v>
      </c>
      <c r="AT2635" s="284">
        <v>-12.4</v>
      </c>
      <c r="AU2635" s="480">
        <v>0.95</v>
      </c>
    </row>
    <row r="2636" spans="1:47" ht="18" customHeight="1" x14ac:dyDescent="0.35">
      <c r="A2636" s="274">
        <f>MATCH(B2636,STUDIES!$A$3:$A$502,0)</f>
        <v>105</v>
      </c>
      <c r="B2636" s="469" t="s">
        <v>2228</v>
      </c>
      <c r="C2636" s="476"/>
      <c r="D2636" s="475" t="s">
        <v>2113</v>
      </c>
      <c r="E2636" s="272" t="s">
        <v>153</v>
      </c>
      <c r="F2636" s="155" t="str">
        <f>_xlfn.XLOOKUP(B2636,STUDIES!$A$3:$A$1063,STUDIES!$G$3:$G$1063,"Not Found!")</f>
        <v>A</v>
      </c>
      <c r="G2636" s="452" t="s">
        <v>147</v>
      </c>
      <c r="H2636" s="452">
        <v>16</v>
      </c>
      <c r="I2636" s="452">
        <v>77</v>
      </c>
      <c r="J2636" s="453"/>
      <c r="K2636" s="284">
        <v>21.2</v>
      </c>
      <c r="L2636" s="284"/>
      <c r="M2636" s="284">
        <v>5.26</v>
      </c>
      <c r="N2636" s="284"/>
      <c r="O2636" s="284"/>
      <c r="P2636" s="284"/>
      <c r="Q2636" s="454"/>
      <c r="R2636" s="455"/>
      <c r="S2636" s="284"/>
      <c r="T2636" s="284"/>
      <c r="U2636" s="284"/>
      <c r="V2636" s="284"/>
      <c r="W2636" s="284"/>
      <c r="X2636" s="479"/>
      <c r="Y2636" s="284"/>
      <c r="Z2636" s="284"/>
      <c r="AA2636" s="284"/>
      <c r="AB2636" s="284"/>
      <c r="AC2636" s="284"/>
      <c r="AD2636" s="479"/>
      <c r="AE2636" s="284"/>
      <c r="AF2636" s="284"/>
      <c r="AG2636" s="284"/>
      <c r="AH2636" s="284"/>
      <c r="AI2636" s="284"/>
      <c r="AJ2636" s="479"/>
      <c r="AK2636" s="284"/>
      <c r="AL2636" s="284"/>
      <c r="AM2636" s="284"/>
      <c r="AN2636" s="284"/>
      <c r="AO2636" s="480"/>
      <c r="AP2636" s="284">
        <v>-22.2</v>
      </c>
      <c r="AQ2636" s="284"/>
      <c r="AR2636" s="284"/>
      <c r="AS2636" s="284">
        <v>-35.4</v>
      </c>
      <c r="AT2636" s="284">
        <v>-8.9</v>
      </c>
      <c r="AU2636" s="480">
        <v>0.95</v>
      </c>
    </row>
    <row r="2637" spans="1:47" ht="18" customHeight="1" x14ac:dyDescent="0.35">
      <c r="A2637" s="274">
        <f>MATCH(B2637,STUDIES!$A$3:$A$502,0)</f>
        <v>105</v>
      </c>
      <c r="B2637" s="469" t="s">
        <v>2228</v>
      </c>
      <c r="C2637" s="476"/>
      <c r="D2637" s="475" t="s">
        <v>2114</v>
      </c>
      <c r="E2637" s="272" t="s">
        <v>153</v>
      </c>
      <c r="F2637" s="155" t="str">
        <f>_xlfn.XLOOKUP(B2637,STUDIES!$A$3:$A$1063,STUDIES!$G$3:$G$1063,"Not Found!")</f>
        <v>A</v>
      </c>
      <c r="G2637" s="452" t="s">
        <v>147</v>
      </c>
      <c r="H2637" s="452">
        <v>16</v>
      </c>
      <c r="I2637" s="452">
        <v>79</v>
      </c>
      <c r="J2637" s="453"/>
      <c r="K2637" s="284">
        <v>20.5</v>
      </c>
      <c r="L2637" s="284"/>
      <c r="M2637" s="284">
        <v>5.44</v>
      </c>
      <c r="N2637" s="284"/>
      <c r="O2637" s="284"/>
      <c r="P2637" s="284"/>
      <c r="Q2637" s="454"/>
      <c r="R2637" s="455"/>
      <c r="S2637" s="284"/>
      <c r="T2637" s="284"/>
      <c r="U2637" s="284"/>
      <c r="V2637" s="284"/>
      <c r="W2637" s="284"/>
      <c r="X2637" s="479"/>
      <c r="Y2637" s="284"/>
      <c r="Z2637" s="284"/>
      <c r="AA2637" s="284"/>
      <c r="AB2637" s="284"/>
      <c r="AC2637" s="284"/>
      <c r="AD2637" s="479"/>
      <c r="AE2637" s="284"/>
      <c r="AF2637" s="284"/>
      <c r="AG2637" s="284"/>
      <c r="AH2637" s="284"/>
      <c r="AI2637" s="284"/>
      <c r="AJ2637" s="479"/>
      <c r="AK2637" s="284"/>
      <c r="AL2637" s="284"/>
      <c r="AM2637" s="284"/>
      <c r="AN2637" s="284"/>
      <c r="AO2637" s="480"/>
      <c r="AP2637" s="284">
        <v>-25.9</v>
      </c>
      <c r="AQ2637" s="284"/>
      <c r="AR2637" s="284"/>
      <c r="AS2637" s="284">
        <v>-39</v>
      </c>
      <c r="AT2637" s="284">
        <v>-12.8</v>
      </c>
      <c r="AU2637" s="480">
        <v>0.95</v>
      </c>
    </row>
    <row r="2638" spans="1:47" ht="18" customHeight="1" x14ac:dyDescent="0.35">
      <c r="A2638" s="274">
        <f>MATCH(B2638,STUDIES!$A$3:$A$502,0)</f>
        <v>105</v>
      </c>
      <c r="B2638" s="469" t="s">
        <v>2228</v>
      </c>
      <c r="C2638" s="476"/>
      <c r="D2638" s="474" t="s">
        <v>148</v>
      </c>
      <c r="E2638" s="272" t="s">
        <v>153</v>
      </c>
      <c r="F2638" s="155" t="str">
        <f>_xlfn.XLOOKUP(B2638,STUDIES!$A$3:$A$1063,STUDIES!$G$3:$G$1063,"Not Found!")</f>
        <v>A</v>
      </c>
      <c r="G2638" s="452" t="s">
        <v>147</v>
      </c>
      <c r="H2638" s="452">
        <v>16</v>
      </c>
      <c r="I2638" s="452">
        <v>79</v>
      </c>
      <c r="J2638" s="453"/>
      <c r="K2638" s="284">
        <v>19.7</v>
      </c>
      <c r="L2638" s="284"/>
      <c r="M2638" s="284">
        <v>5.73</v>
      </c>
      <c r="N2638" s="284"/>
      <c r="O2638" s="284"/>
      <c r="P2638" s="284"/>
      <c r="Q2638" s="454"/>
      <c r="R2638" s="455"/>
      <c r="S2638" s="284"/>
      <c r="T2638" s="284"/>
      <c r="U2638" s="284"/>
      <c r="V2638" s="284"/>
      <c r="W2638" s="284"/>
      <c r="X2638" s="479"/>
      <c r="Y2638" s="284"/>
      <c r="Z2638" s="284"/>
      <c r="AA2638" s="284"/>
      <c r="AB2638" s="284"/>
      <c r="AC2638" s="284"/>
      <c r="AD2638" s="479"/>
      <c r="AE2638" s="284"/>
      <c r="AF2638" s="284"/>
      <c r="AG2638" s="284"/>
      <c r="AH2638" s="284"/>
      <c r="AI2638" s="284"/>
      <c r="AJ2638" s="479"/>
      <c r="AK2638" s="284"/>
      <c r="AL2638" s="284"/>
      <c r="AM2638" s="284"/>
      <c r="AN2638" s="284"/>
      <c r="AO2638" s="480"/>
      <c r="AP2638" s="284"/>
      <c r="AQ2638" s="284"/>
      <c r="AR2638" s="284"/>
      <c r="AS2638" s="284"/>
      <c r="AT2638" s="284"/>
      <c r="AU2638" s="480">
        <v>0.95</v>
      </c>
    </row>
    <row r="2639" spans="1:47" ht="18" customHeight="1" x14ac:dyDescent="0.35">
      <c r="A2639" s="274">
        <f>MATCH(B2639,STUDIES!$A$3:$A$502,0)</f>
        <v>105</v>
      </c>
      <c r="B2639" s="469" t="s">
        <v>2228</v>
      </c>
      <c r="C2639" s="476"/>
      <c r="D2639" s="8" t="s">
        <v>1833</v>
      </c>
      <c r="E2639" s="272" t="s">
        <v>154</v>
      </c>
      <c r="F2639" s="155" t="str">
        <f>_xlfn.XLOOKUP(B2639,STUDIES!$A$3:$A$1063,STUDIES!$G$3:$G$1063,"Not Found!")</f>
        <v>A</v>
      </c>
      <c r="G2639" s="452" t="s">
        <v>1836</v>
      </c>
      <c r="H2639" s="452">
        <v>16</v>
      </c>
      <c r="I2639" s="452">
        <v>77</v>
      </c>
      <c r="J2639" s="453"/>
      <c r="K2639" s="284">
        <v>14.8</v>
      </c>
      <c r="L2639" s="284"/>
      <c r="M2639" s="284">
        <v>6.17</v>
      </c>
      <c r="N2639" s="284"/>
      <c r="O2639" s="284"/>
      <c r="P2639" s="284"/>
      <c r="Q2639" s="454"/>
      <c r="R2639" s="455"/>
      <c r="S2639" s="284"/>
      <c r="T2639" s="284"/>
      <c r="U2639" s="284"/>
      <c r="V2639" s="284"/>
      <c r="W2639" s="284"/>
      <c r="X2639" s="479"/>
      <c r="Y2639" s="284"/>
      <c r="Z2639" s="284"/>
      <c r="AA2639" s="284"/>
      <c r="AB2639" s="284"/>
      <c r="AC2639" s="284"/>
      <c r="AD2639" s="479"/>
      <c r="AE2639" s="284"/>
      <c r="AF2639" s="284"/>
      <c r="AG2639" s="284"/>
      <c r="AH2639" s="284"/>
      <c r="AI2639" s="284"/>
      <c r="AJ2639" s="479"/>
      <c r="AK2639" s="284"/>
      <c r="AL2639" s="284"/>
      <c r="AM2639" s="284"/>
      <c r="AN2639" s="284"/>
      <c r="AO2639" s="480"/>
      <c r="AP2639" s="284">
        <v>-35.299999999999997</v>
      </c>
      <c r="AQ2639" s="284"/>
      <c r="AR2639" s="284"/>
      <c r="AS2639" s="284">
        <v>-51.1</v>
      </c>
      <c r="AT2639" s="284">
        <v>-19.600000000000001</v>
      </c>
      <c r="AU2639" s="480">
        <v>0.95</v>
      </c>
    </row>
    <row r="2640" spans="1:47" ht="18" customHeight="1" x14ac:dyDescent="0.35">
      <c r="A2640" s="274">
        <f>MATCH(B2640,STUDIES!$A$3:$A$502,0)</f>
        <v>105</v>
      </c>
      <c r="B2640" s="469" t="s">
        <v>2228</v>
      </c>
      <c r="C2640" s="476"/>
      <c r="D2640" s="474" t="s">
        <v>2110</v>
      </c>
      <c r="E2640" s="272" t="s">
        <v>154</v>
      </c>
      <c r="F2640" s="155" t="str">
        <f>_xlfn.XLOOKUP(B2640,STUDIES!$A$3:$A$1063,STUDIES!$G$3:$G$1063,"Not Found!")</f>
        <v>A</v>
      </c>
      <c r="G2640" s="452" t="s">
        <v>147</v>
      </c>
      <c r="H2640" s="452">
        <v>16</v>
      </c>
      <c r="I2640" s="452">
        <v>78</v>
      </c>
      <c r="J2640" s="453"/>
      <c r="K2640" s="284">
        <v>15.4</v>
      </c>
      <c r="L2640" s="284"/>
      <c r="M2640" s="284">
        <v>6.98</v>
      </c>
      <c r="N2640" s="284"/>
      <c r="O2640" s="284"/>
      <c r="P2640" s="284"/>
      <c r="Q2640" s="454"/>
      <c r="R2640" s="455"/>
      <c r="S2640" s="284"/>
      <c r="T2640" s="284"/>
      <c r="U2640" s="284"/>
      <c r="V2640" s="284"/>
      <c r="W2640" s="284"/>
      <c r="X2640" s="479"/>
      <c r="Y2640" s="284"/>
      <c r="Z2640" s="284"/>
      <c r="AA2640" s="284"/>
      <c r="AB2640" s="284"/>
      <c r="AC2640" s="284"/>
      <c r="AD2640" s="479"/>
      <c r="AE2640" s="284"/>
      <c r="AF2640" s="284"/>
      <c r="AG2640" s="284"/>
      <c r="AH2640" s="284"/>
      <c r="AI2640" s="284"/>
      <c r="AJ2640" s="479"/>
      <c r="AK2640" s="284"/>
      <c r="AL2640" s="284"/>
      <c r="AM2640" s="284"/>
      <c r="AN2640" s="284"/>
      <c r="AO2640" s="480"/>
      <c r="AP2640" s="284">
        <v>-29.7</v>
      </c>
      <c r="AQ2640" s="284"/>
      <c r="AR2640" s="284"/>
      <c r="AS2640" s="284">
        <v>-45.4</v>
      </c>
      <c r="AT2640" s="284">
        <v>-13.9</v>
      </c>
      <c r="AU2640" s="480">
        <v>0.95</v>
      </c>
    </row>
    <row r="2641" spans="1:47" ht="18" customHeight="1" x14ac:dyDescent="0.35">
      <c r="A2641" s="274">
        <f>MATCH(B2641,STUDIES!$A$3:$A$502,0)</f>
        <v>105</v>
      </c>
      <c r="B2641" s="469" t="s">
        <v>2228</v>
      </c>
      <c r="C2641" s="476"/>
      <c r="D2641" s="475" t="s">
        <v>2113</v>
      </c>
      <c r="E2641" s="272" t="s">
        <v>154</v>
      </c>
      <c r="F2641" s="155" t="str">
        <f>_xlfn.XLOOKUP(B2641,STUDIES!$A$3:$A$1063,STUDIES!$G$3:$G$1063,"Not Found!")</f>
        <v>A</v>
      </c>
      <c r="G2641" s="452" t="s">
        <v>147</v>
      </c>
      <c r="H2641" s="452">
        <v>16</v>
      </c>
      <c r="I2641" s="452">
        <v>77</v>
      </c>
      <c r="J2641" s="453"/>
      <c r="K2641" s="284">
        <v>15.6</v>
      </c>
      <c r="L2641" s="284"/>
      <c r="M2641" s="284">
        <v>6.91</v>
      </c>
      <c r="N2641" s="284"/>
      <c r="O2641" s="284"/>
      <c r="P2641" s="284"/>
      <c r="Q2641" s="454"/>
      <c r="R2641" s="455"/>
      <c r="S2641" s="284"/>
      <c r="T2641" s="284"/>
      <c r="U2641" s="284"/>
      <c r="V2641" s="284"/>
      <c r="W2641" s="284"/>
      <c r="X2641" s="479"/>
      <c r="Y2641" s="284"/>
      <c r="Z2641" s="284"/>
      <c r="AA2641" s="284"/>
      <c r="AB2641" s="284"/>
      <c r="AC2641" s="284"/>
      <c r="AD2641" s="479"/>
      <c r="AE2641" s="284"/>
      <c r="AF2641" s="284"/>
      <c r="AG2641" s="284"/>
      <c r="AH2641" s="284"/>
      <c r="AI2641" s="284"/>
      <c r="AJ2641" s="479"/>
      <c r="AK2641" s="284"/>
      <c r="AL2641" s="284"/>
      <c r="AM2641" s="284"/>
      <c r="AN2641" s="284"/>
      <c r="AO2641" s="480"/>
      <c r="AP2641" s="284">
        <v>-21.8</v>
      </c>
      <c r="AQ2641" s="284"/>
      <c r="AR2641" s="284"/>
      <c r="AS2641" s="284">
        <v>-37.200000000000003</v>
      </c>
      <c r="AT2641" s="284">
        <v>-6.4</v>
      </c>
      <c r="AU2641" s="480">
        <v>0.95</v>
      </c>
    </row>
    <row r="2642" spans="1:47" ht="18" customHeight="1" x14ac:dyDescent="0.35">
      <c r="A2642" s="274">
        <f>MATCH(B2642,STUDIES!$A$3:$A$502,0)</f>
        <v>105</v>
      </c>
      <c r="B2642" s="469" t="s">
        <v>2228</v>
      </c>
      <c r="C2642" s="476"/>
      <c r="D2642" s="475" t="s">
        <v>2114</v>
      </c>
      <c r="E2642" s="272" t="s">
        <v>154</v>
      </c>
      <c r="F2642" s="155" t="str">
        <f>_xlfn.XLOOKUP(B2642,STUDIES!$A$3:$A$1063,STUDIES!$G$3:$G$1063,"Not Found!")</f>
        <v>A</v>
      </c>
      <c r="G2642" s="452" t="s">
        <v>147</v>
      </c>
      <c r="H2642" s="452">
        <v>16</v>
      </c>
      <c r="I2642" s="452">
        <v>79</v>
      </c>
      <c r="J2642" s="453"/>
      <c r="K2642" s="284">
        <v>16</v>
      </c>
      <c r="L2642" s="284"/>
      <c r="M2642" s="284">
        <v>7.19</v>
      </c>
      <c r="N2642" s="284"/>
      <c r="O2642" s="284"/>
      <c r="P2642" s="284"/>
      <c r="Q2642" s="454"/>
      <c r="R2642" s="455"/>
      <c r="S2642" s="284"/>
      <c r="T2642" s="284"/>
      <c r="U2642" s="284"/>
      <c r="V2642" s="284"/>
      <c r="W2642" s="284"/>
      <c r="X2642" s="479"/>
      <c r="Y2642" s="284"/>
      <c r="Z2642" s="284"/>
      <c r="AA2642" s="284"/>
      <c r="AB2642" s="284"/>
      <c r="AC2642" s="284"/>
      <c r="AD2642" s="479"/>
      <c r="AE2642" s="284"/>
      <c r="AF2642" s="284"/>
      <c r="AG2642" s="284"/>
      <c r="AH2642" s="284"/>
      <c r="AI2642" s="284"/>
      <c r="AJ2642" s="479"/>
      <c r="AK2642" s="284"/>
      <c r="AL2642" s="284"/>
      <c r="AM2642" s="284"/>
      <c r="AN2642" s="284"/>
      <c r="AO2642" s="480"/>
      <c r="AP2642" s="284">
        <v>-36.700000000000003</v>
      </c>
      <c r="AQ2642" s="284"/>
      <c r="AR2642" s="284"/>
      <c r="AS2642" s="284">
        <v>-52</v>
      </c>
      <c r="AT2642" s="284">
        <v>-21.4</v>
      </c>
      <c r="AU2642" s="480">
        <v>0.95</v>
      </c>
    </row>
    <row r="2643" spans="1:47" ht="18" customHeight="1" x14ac:dyDescent="0.35">
      <c r="A2643" s="274">
        <f>MATCH(B2643,STUDIES!$A$3:$A$502,0)</f>
        <v>105</v>
      </c>
      <c r="B2643" s="469" t="s">
        <v>2228</v>
      </c>
      <c r="C2643" s="476"/>
      <c r="D2643" s="474" t="s">
        <v>148</v>
      </c>
      <c r="E2643" s="272" t="s">
        <v>154</v>
      </c>
      <c r="F2643" s="155" t="str">
        <f>_xlfn.XLOOKUP(B2643,STUDIES!$A$3:$A$1063,STUDIES!$G$3:$G$1063,"Not Found!")</f>
        <v>A</v>
      </c>
      <c r="G2643" s="452" t="s">
        <v>147</v>
      </c>
      <c r="H2643" s="452">
        <v>16</v>
      </c>
      <c r="I2643" s="452">
        <v>79</v>
      </c>
      <c r="J2643" s="453"/>
      <c r="K2643" s="284">
        <v>15.4</v>
      </c>
      <c r="L2643" s="284"/>
      <c r="M2643" s="284">
        <v>7.23</v>
      </c>
      <c r="N2643" s="284"/>
      <c r="O2643" s="284"/>
      <c r="P2643" s="284"/>
      <c r="Q2643" s="454"/>
      <c r="R2643" s="455"/>
      <c r="S2643" s="284"/>
      <c r="T2643" s="284"/>
      <c r="U2643" s="284"/>
      <c r="V2643" s="284"/>
      <c r="W2643" s="284"/>
      <c r="X2643" s="479"/>
      <c r="Y2643" s="284"/>
      <c r="Z2643" s="284"/>
      <c r="AA2643" s="284"/>
      <c r="AB2643" s="284"/>
      <c r="AC2643" s="284"/>
      <c r="AD2643" s="479"/>
      <c r="AE2643" s="284"/>
      <c r="AF2643" s="284"/>
      <c r="AG2643" s="284"/>
      <c r="AH2643" s="284"/>
      <c r="AI2643" s="284"/>
      <c r="AJ2643" s="479"/>
      <c r="AK2643" s="284"/>
      <c r="AL2643" s="284"/>
      <c r="AM2643" s="284"/>
      <c r="AN2643" s="284"/>
      <c r="AO2643" s="480"/>
      <c r="AP2643" s="284"/>
      <c r="AQ2643" s="284"/>
      <c r="AR2643" s="284"/>
      <c r="AS2643" s="284"/>
      <c r="AT2643" s="284"/>
      <c r="AU2643" s="480">
        <v>0.95</v>
      </c>
    </row>
    <row r="2644" spans="1:47" ht="18" customHeight="1" x14ac:dyDescent="0.35">
      <c r="A2644" s="274">
        <f>MATCH(B2644,STUDIES!$A$3:$A$502,0)</f>
        <v>108</v>
      </c>
      <c r="B2644" s="477" t="s">
        <v>2236</v>
      </c>
      <c r="C2644" s="476"/>
      <c r="D2644" s="488" t="s">
        <v>148</v>
      </c>
      <c r="E2644" s="477" t="s">
        <v>151</v>
      </c>
      <c r="F2644" s="155" t="str">
        <f>_xlfn.XLOOKUP(B2644,STUDIES!$A$3:$A$1063,STUDIES!$G$3:$G$1063,"Not Found!")</f>
        <v>A</v>
      </c>
      <c r="G2644" s="452" t="s">
        <v>147</v>
      </c>
      <c r="H2644" s="452">
        <v>16</v>
      </c>
      <c r="I2644" s="452">
        <v>55</v>
      </c>
      <c r="J2644" s="453"/>
      <c r="K2644" s="284">
        <v>22.5</v>
      </c>
      <c r="L2644" s="284"/>
      <c r="M2644" s="284">
        <v>7.2</v>
      </c>
      <c r="N2644" s="284"/>
      <c r="O2644" s="284"/>
      <c r="P2644" s="284"/>
      <c r="Q2644" s="454"/>
      <c r="R2644" s="455"/>
      <c r="S2644" s="284"/>
      <c r="AJ2644" s="276">
        <v>-50.4</v>
      </c>
      <c r="AK2644" s="268">
        <v>4.9800000000000004</v>
      </c>
    </row>
    <row r="2645" spans="1:47" ht="18" customHeight="1" x14ac:dyDescent="0.35">
      <c r="A2645" s="274">
        <f>MATCH(B2645,STUDIES!$A$3:$A$502,0)</f>
        <v>108</v>
      </c>
      <c r="B2645" s="477" t="s">
        <v>2236</v>
      </c>
      <c r="C2645" s="476"/>
      <c r="D2645" s="488" t="s">
        <v>2150</v>
      </c>
      <c r="E2645" s="477" t="s">
        <v>151</v>
      </c>
      <c r="F2645" s="155" t="str">
        <f>_xlfn.XLOOKUP(B2645,STUDIES!$A$3:$A$1063,STUDIES!$G$3:$G$1063,"Not Found!")</f>
        <v>A</v>
      </c>
      <c r="G2645" s="452" t="s">
        <v>147</v>
      </c>
      <c r="H2645" s="452">
        <v>16</v>
      </c>
      <c r="I2645" s="452">
        <v>58</v>
      </c>
      <c r="J2645" s="453"/>
      <c r="K2645" s="284">
        <v>23.3</v>
      </c>
      <c r="L2645" s="284"/>
      <c r="M2645" s="284">
        <v>8.1999999999999993</v>
      </c>
      <c r="N2645" s="284"/>
      <c r="O2645" s="284"/>
      <c r="P2645" s="284"/>
      <c r="Q2645" s="454"/>
      <c r="R2645" s="455"/>
      <c r="S2645" s="284"/>
      <c r="AJ2645" s="276">
        <v>-55.1</v>
      </c>
      <c r="AK2645" s="268">
        <v>4.8899999999999997</v>
      </c>
    </row>
    <row r="2646" spans="1:47" ht="18" customHeight="1" x14ac:dyDescent="0.35">
      <c r="A2646" s="274">
        <f>MATCH(B2646,STUDIES!$A$3:$A$502,0)</f>
        <v>108</v>
      </c>
      <c r="B2646" s="477" t="s">
        <v>2236</v>
      </c>
      <c r="C2646" s="476"/>
      <c r="D2646" s="488" t="s">
        <v>2151</v>
      </c>
      <c r="E2646" s="477" t="s">
        <v>151</v>
      </c>
      <c r="F2646" s="155" t="str">
        <f>_xlfn.XLOOKUP(B2646,STUDIES!$A$3:$A$1063,STUDIES!$G$3:$G$1063,"Not Found!")</f>
        <v>A</v>
      </c>
      <c r="G2646" s="452" t="s">
        <v>147</v>
      </c>
      <c r="H2646" s="452">
        <v>16</v>
      </c>
      <c r="I2646" s="452">
        <v>61</v>
      </c>
      <c r="J2646" s="453"/>
      <c r="K2646" s="284">
        <v>23.3</v>
      </c>
      <c r="L2646" s="284"/>
      <c r="M2646" s="284">
        <v>7.9</v>
      </c>
      <c r="N2646" s="284"/>
      <c r="O2646" s="284"/>
      <c r="P2646" s="284"/>
      <c r="Q2646" s="454"/>
      <c r="R2646" s="455"/>
      <c r="S2646" s="284"/>
      <c r="AJ2646" s="276">
        <v>-52.2</v>
      </c>
      <c r="AK2646" s="268">
        <v>5.39</v>
      </c>
    </row>
    <row r="2647" spans="1:47" ht="18" customHeight="1" x14ac:dyDescent="0.35">
      <c r="A2647" s="274">
        <f>MATCH(B2647,STUDIES!$A$3:$A$502,0)</f>
        <v>108</v>
      </c>
      <c r="B2647" s="477" t="s">
        <v>2236</v>
      </c>
      <c r="C2647" s="476"/>
      <c r="D2647" s="488" t="s">
        <v>2152</v>
      </c>
      <c r="E2647" s="477" t="s">
        <v>151</v>
      </c>
      <c r="F2647" s="155" t="str">
        <f>_xlfn.XLOOKUP(B2647,STUDIES!$A$3:$A$1063,STUDIES!$G$3:$G$1063,"Not Found!")</f>
        <v>A</v>
      </c>
      <c r="G2647" s="452" t="s">
        <v>147</v>
      </c>
      <c r="H2647" s="452">
        <v>16</v>
      </c>
      <c r="I2647" s="452">
        <v>59</v>
      </c>
      <c r="J2647" s="453"/>
      <c r="K2647" s="284">
        <v>21.6</v>
      </c>
      <c r="L2647" s="284"/>
      <c r="M2647" s="284">
        <v>6.1</v>
      </c>
      <c r="N2647" s="284"/>
      <c r="O2647" s="284"/>
      <c r="P2647" s="284"/>
      <c r="Q2647" s="454"/>
      <c r="R2647" s="455"/>
      <c r="S2647" s="284"/>
      <c r="AJ2647" s="276">
        <v>-61.4</v>
      </c>
      <c r="AK2647" s="268">
        <v>5.0199999999999996</v>
      </c>
    </row>
    <row r="2648" spans="1:47" ht="18" customHeight="1" x14ac:dyDescent="0.35">
      <c r="A2648" s="274">
        <f>MATCH(B2648,STUDIES!$A$3:$A$502,0)</f>
        <v>108</v>
      </c>
      <c r="B2648" s="477" t="s">
        <v>2236</v>
      </c>
      <c r="C2648" s="476"/>
      <c r="D2648" s="488" t="s">
        <v>148</v>
      </c>
      <c r="E2648" s="477" t="s">
        <v>1243</v>
      </c>
      <c r="F2648" s="155" t="str">
        <f>_xlfn.XLOOKUP(B2648,STUDIES!$A$3:$A$1063,STUDIES!$G$3:$G$1063,"Not Found!")</f>
        <v>A</v>
      </c>
      <c r="G2648" s="452" t="s">
        <v>147</v>
      </c>
      <c r="H2648" s="452">
        <v>16</v>
      </c>
      <c r="I2648" s="452">
        <v>55</v>
      </c>
      <c r="J2648" s="453">
        <f>0.361*I2648</f>
        <v>19.855</v>
      </c>
      <c r="K2648" s="284"/>
      <c r="L2648" s="284"/>
      <c r="M2648" s="284"/>
      <c r="N2648" s="284"/>
      <c r="O2648" s="284"/>
      <c r="P2648" s="284"/>
      <c r="Q2648" s="454"/>
      <c r="R2648" s="455"/>
      <c r="S2648" s="284"/>
    </row>
    <row r="2649" spans="1:47" ht="18" customHeight="1" x14ac:dyDescent="0.35">
      <c r="A2649" s="274">
        <f>MATCH(B2649,STUDIES!$A$3:$A$502,0)</f>
        <v>108</v>
      </c>
      <c r="B2649" s="477" t="s">
        <v>2236</v>
      </c>
      <c r="C2649" s="476"/>
      <c r="D2649" s="488" t="s">
        <v>2150</v>
      </c>
      <c r="E2649" s="477" t="s">
        <v>1243</v>
      </c>
      <c r="F2649" s="155" t="str">
        <f>_xlfn.XLOOKUP(B2649,STUDIES!$A$3:$A$1063,STUDIES!$G$3:$G$1063,"Not Found!")</f>
        <v>A</v>
      </c>
      <c r="G2649" s="452" t="s">
        <v>147</v>
      </c>
      <c r="H2649" s="452">
        <v>16</v>
      </c>
      <c r="I2649" s="452">
        <v>58</v>
      </c>
      <c r="J2649" s="453">
        <f>0.304*I2649</f>
        <v>17.631999999999998</v>
      </c>
      <c r="K2649" s="284"/>
      <c r="L2649" s="284"/>
      <c r="M2649" s="284"/>
      <c r="N2649" s="284"/>
      <c r="O2649" s="284"/>
      <c r="P2649" s="284"/>
      <c r="Q2649" s="454"/>
      <c r="R2649" s="455"/>
      <c r="S2649" s="284"/>
    </row>
    <row r="2650" spans="1:47" ht="18" customHeight="1" x14ac:dyDescent="0.35">
      <c r="A2650" s="274">
        <f>MATCH(B2650,STUDIES!$A$3:$A$502,0)</f>
        <v>108</v>
      </c>
      <c r="B2650" s="477" t="s">
        <v>2236</v>
      </c>
      <c r="C2650" s="476"/>
      <c r="D2650" s="488" t="s">
        <v>2151</v>
      </c>
      <c r="E2650" s="477" t="s">
        <v>1243</v>
      </c>
      <c r="F2650" s="155" t="str">
        <f>_xlfn.XLOOKUP(B2650,STUDIES!$A$3:$A$1063,STUDIES!$G$3:$G$1063,"Not Found!")</f>
        <v>A</v>
      </c>
      <c r="G2650" s="452" t="s">
        <v>147</v>
      </c>
      <c r="H2650" s="452">
        <v>16</v>
      </c>
      <c r="I2650" s="452">
        <v>61</v>
      </c>
      <c r="J2650" s="453">
        <f>0.259*I2650</f>
        <v>15.799000000000001</v>
      </c>
      <c r="K2650" s="284"/>
      <c r="L2650" s="284"/>
      <c r="M2650" s="284"/>
      <c r="N2650" s="284"/>
      <c r="O2650" s="284"/>
      <c r="P2650" s="284"/>
      <c r="Q2650" s="454"/>
      <c r="R2650" s="455"/>
      <c r="S2650" s="284"/>
    </row>
    <row r="2651" spans="1:47" ht="18" customHeight="1" x14ac:dyDescent="0.35">
      <c r="A2651" s="274">
        <f>MATCH(B2651,STUDIES!$A$3:$A$502,0)</f>
        <v>108</v>
      </c>
      <c r="B2651" s="477" t="s">
        <v>2236</v>
      </c>
      <c r="C2651" s="476"/>
      <c r="D2651" s="488" t="s">
        <v>2152</v>
      </c>
      <c r="E2651" s="477" t="s">
        <v>1243</v>
      </c>
      <c r="F2651" s="155" t="str">
        <f>_xlfn.XLOOKUP(B2651,STUDIES!$A$3:$A$1063,STUDIES!$G$3:$G$1063,"Not Found!")</f>
        <v>A</v>
      </c>
      <c r="G2651" s="452" t="s">
        <v>147</v>
      </c>
      <c r="H2651" s="452">
        <v>16</v>
      </c>
      <c r="I2651" s="452">
        <v>59</v>
      </c>
      <c r="J2651" s="453">
        <f>0.364*I2651</f>
        <v>21.475999999999999</v>
      </c>
      <c r="K2651" s="284"/>
      <c r="L2651" s="284"/>
      <c r="M2651" s="284"/>
      <c r="N2651" s="284"/>
      <c r="O2651" s="284"/>
      <c r="P2651" s="284"/>
      <c r="Q2651" s="454"/>
      <c r="R2651" s="455"/>
      <c r="S2651" s="284"/>
    </row>
    <row r="2652" spans="1:47" ht="18" customHeight="1" x14ac:dyDescent="0.35">
      <c r="A2652" s="274">
        <f>MATCH(B2652,STUDIES!$A$3:$A$502,0)</f>
        <v>108</v>
      </c>
      <c r="B2652" s="477" t="s">
        <v>2236</v>
      </c>
      <c r="C2652" s="476"/>
      <c r="D2652" s="488" t="s">
        <v>148</v>
      </c>
      <c r="E2652" s="477" t="s">
        <v>1244</v>
      </c>
      <c r="F2652" s="155" t="str">
        <f>_xlfn.XLOOKUP(B2652,STUDIES!$A$3:$A$1063,STUDIES!$G$3:$G$1063,"Not Found!")</f>
        <v>A</v>
      </c>
      <c r="G2652" s="452" t="s">
        <v>147</v>
      </c>
      <c r="H2652" s="452">
        <v>16</v>
      </c>
      <c r="I2652" s="452">
        <v>55</v>
      </c>
      <c r="J2652" s="453">
        <f>0.137*I2652</f>
        <v>7.5350000000000001</v>
      </c>
      <c r="K2652" s="284"/>
      <c r="L2652" s="284"/>
      <c r="M2652" s="284"/>
      <c r="N2652" s="284"/>
      <c r="O2652" s="284"/>
      <c r="P2652" s="284"/>
      <c r="Q2652" s="454"/>
      <c r="R2652" s="455"/>
      <c r="S2652" s="284"/>
    </row>
    <row r="2653" spans="1:47" ht="18" customHeight="1" x14ac:dyDescent="0.35">
      <c r="A2653" s="274">
        <f>MATCH(B2653,STUDIES!$A$3:$A$502,0)</f>
        <v>108</v>
      </c>
      <c r="B2653" s="477" t="s">
        <v>2236</v>
      </c>
      <c r="C2653" s="476"/>
      <c r="D2653" s="488" t="s">
        <v>2150</v>
      </c>
      <c r="E2653" s="477" t="s">
        <v>1244</v>
      </c>
      <c r="F2653" s="155" t="str">
        <f>_xlfn.XLOOKUP(B2653,STUDIES!$A$3:$A$1063,STUDIES!$G$3:$G$1063,"Not Found!")</f>
        <v>A</v>
      </c>
      <c r="G2653" s="452" t="s">
        <v>147</v>
      </c>
      <c r="H2653" s="452">
        <v>16</v>
      </c>
      <c r="I2653" s="452">
        <v>58</v>
      </c>
      <c r="J2653" s="453">
        <f>0.132*I2653</f>
        <v>7.6560000000000006</v>
      </c>
      <c r="K2653" s="284"/>
      <c r="L2653" s="284"/>
      <c r="M2653" s="284"/>
      <c r="N2653" s="284"/>
      <c r="O2653" s="284"/>
      <c r="P2653" s="284"/>
      <c r="Q2653" s="454"/>
      <c r="R2653" s="455"/>
      <c r="S2653" s="284"/>
    </row>
    <row r="2654" spans="1:47" ht="18" customHeight="1" x14ac:dyDescent="0.35">
      <c r="A2654" s="274">
        <f>MATCH(B2654,STUDIES!$A$3:$A$502,0)</f>
        <v>108</v>
      </c>
      <c r="B2654" s="477" t="s">
        <v>2236</v>
      </c>
      <c r="C2654" s="476"/>
      <c r="D2654" s="488" t="s">
        <v>2151</v>
      </c>
      <c r="E2654" s="477" t="s">
        <v>1244</v>
      </c>
      <c r="F2654" s="155" t="str">
        <f>_xlfn.XLOOKUP(B2654,STUDIES!$A$3:$A$1063,STUDIES!$G$3:$G$1063,"Not Found!")</f>
        <v>A</v>
      </c>
      <c r="G2654" s="452" t="s">
        <v>147</v>
      </c>
      <c r="H2654" s="452">
        <v>16</v>
      </c>
      <c r="I2654" s="452">
        <v>61</v>
      </c>
      <c r="J2654" s="453">
        <f>0.143*I2654</f>
        <v>8.722999999999999</v>
      </c>
      <c r="K2654" s="284"/>
      <c r="L2654" s="284"/>
      <c r="M2654" s="284"/>
      <c r="N2654" s="284"/>
      <c r="O2654" s="284"/>
      <c r="P2654" s="284"/>
      <c r="Q2654" s="454"/>
      <c r="R2654" s="455"/>
      <c r="S2654" s="284"/>
    </row>
    <row r="2655" spans="1:47" ht="18" customHeight="1" x14ac:dyDescent="0.35">
      <c r="A2655" s="274">
        <f>MATCH(B2655,STUDIES!$A$3:$A$502,0)</f>
        <v>108</v>
      </c>
      <c r="B2655" s="477" t="s">
        <v>2236</v>
      </c>
      <c r="C2655" s="476"/>
      <c r="D2655" s="488" t="s">
        <v>2152</v>
      </c>
      <c r="E2655" s="477" t="s">
        <v>1244</v>
      </c>
      <c r="F2655" s="155" t="str">
        <f>_xlfn.XLOOKUP(B2655,STUDIES!$A$3:$A$1063,STUDIES!$G$3:$G$1063,"Not Found!")</f>
        <v>A</v>
      </c>
      <c r="G2655" s="452" t="s">
        <v>147</v>
      </c>
      <c r="H2655" s="452">
        <v>16</v>
      </c>
      <c r="I2655" s="452">
        <v>59</v>
      </c>
      <c r="J2655" s="453">
        <f>0.196*I2655</f>
        <v>11.564</v>
      </c>
      <c r="K2655" s="284"/>
      <c r="L2655" s="284"/>
      <c r="M2655" s="284"/>
      <c r="N2655" s="284"/>
      <c r="O2655" s="284"/>
      <c r="P2655" s="284"/>
      <c r="Q2655" s="454"/>
      <c r="R2655" s="455"/>
      <c r="S2655" s="284"/>
    </row>
    <row r="2656" spans="1:47" ht="18" customHeight="1" x14ac:dyDescent="0.35">
      <c r="A2656" s="274">
        <f>MATCH(B2656,STUDIES!$A$3:$A$502,0)</f>
        <v>108</v>
      </c>
      <c r="B2656" s="477" t="s">
        <v>2236</v>
      </c>
      <c r="C2656" s="476"/>
      <c r="D2656" s="488" t="s">
        <v>148</v>
      </c>
      <c r="E2656" s="477" t="s">
        <v>154</v>
      </c>
      <c r="F2656" s="155" t="str">
        <f>_xlfn.XLOOKUP(B2656,STUDIES!$A$3:$A$1063,STUDIES!$G$3:$G$1063,"Not Found!")</f>
        <v>A</v>
      </c>
      <c r="G2656" s="452" t="s">
        <v>147</v>
      </c>
      <c r="H2656" s="452">
        <v>16</v>
      </c>
      <c r="I2656" s="452">
        <v>55</v>
      </c>
      <c r="J2656" s="453"/>
      <c r="K2656" s="284"/>
      <c r="L2656" s="284"/>
      <c r="M2656" s="284"/>
      <c r="N2656" s="284"/>
      <c r="O2656" s="284"/>
      <c r="P2656" s="284"/>
      <c r="Q2656" s="454"/>
      <c r="R2656" s="455">
        <v>-7.5</v>
      </c>
      <c r="S2656" s="284">
        <v>0.83</v>
      </c>
    </row>
    <row r="2657" spans="1:23" ht="18" customHeight="1" x14ac:dyDescent="0.35">
      <c r="A2657" s="274">
        <f>MATCH(B2657,STUDIES!$A$3:$A$502,0)</f>
        <v>108</v>
      </c>
      <c r="B2657" s="477" t="s">
        <v>2236</v>
      </c>
      <c r="C2657" s="476"/>
      <c r="D2657" s="488" t="s">
        <v>2150</v>
      </c>
      <c r="E2657" s="477" t="s">
        <v>154</v>
      </c>
      <c r="F2657" s="155" t="str">
        <f>_xlfn.XLOOKUP(B2657,STUDIES!$A$3:$A$1063,STUDIES!$G$3:$G$1063,"Not Found!")</f>
        <v>A</v>
      </c>
      <c r="G2657" s="452" t="s">
        <v>147</v>
      </c>
      <c r="H2657" s="452">
        <v>16</v>
      </c>
      <c r="I2657" s="452">
        <v>58</v>
      </c>
      <c r="J2657" s="453"/>
      <c r="K2657" s="284"/>
      <c r="L2657" s="284"/>
      <c r="M2657" s="284"/>
      <c r="N2657" s="284"/>
      <c r="O2657" s="284"/>
      <c r="P2657" s="284"/>
      <c r="Q2657" s="454"/>
      <c r="R2657" s="455">
        <v>-7.5</v>
      </c>
      <c r="S2657" s="284">
        <v>0.87</v>
      </c>
    </row>
    <row r="2658" spans="1:23" ht="18" customHeight="1" x14ac:dyDescent="0.35">
      <c r="A2658" s="274">
        <f>MATCH(B2658,STUDIES!$A$3:$A$502,0)</f>
        <v>108</v>
      </c>
      <c r="B2658" s="477" t="s">
        <v>2236</v>
      </c>
      <c r="C2658" s="476"/>
      <c r="D2658" s="488" t="s">
        <v>2151</v>
      </c>
      <c r="E2658" s="477" t="s">
        <v>154</v>
      </c>
      <c r="F2658" s="155" t="str">
        <f>_xlfn.XLOOKUP(B2658,STUDIES!$A$3:$A$1063,STUDIES!$G$3:$G$1063,"Not Found!")</f>
        <v>A</v>
      </c>
      <c r="G2658" s="452" t="s">
        <v>147</v>
      </c>
      <c r="H2658" s="452">
        <v>16</v>
      </c>
      <c r="I2658" s="452">
        <v>61</v>
      </c>
      <c r="J2658" s="453"/>
      <c r="K2658" s="284"/>
      <c r="L2658" s="284"/>
      <c r="M2658" s="284"/>
      <c r="N2658" s="284"/>
      <c r="O2658" s="284"/>
      <c r="P2658" s="284"/>
      <c r="Q2658" s="454"/>
      <c r="R2658" s="455">
        <v>-8.1999999999999993</v>
      </c>
      <c r="S2658" s="284">
        <v>0.89</v>
      </c>
    </row>
    <row r="2659" spans="1:23" ht="18" customHeight="1" x14ac:dyDescent="0.35">
      <c r="A2659" s="274">
        <f>MATCH(B2659,STUDIES!$A$3:$A$502,0)</f>
        <v>108</v>
      </c>
      <c r="B2659" s="477" t="s">
        <v>2236</v>
      </c>
      <c r="C2659" s="476"/>
      <c r="D2659" s="488" t="s">
        <v>2152</v>
      </c>
      <c r="E2659" s="477" t="s">
        <v>154</v>
      </c>
      <c r="F2659" s="155" t="str">
        <f>_xlfn.XLOOKUP(B2659,STUDIES!$A$3:$A$1063,STUDIES!$G$3:$G$1063,"Not Found!")</f>
        <v>A</v>
      </c>
      <c r="G2659" s="452" t="s">
        <v>147</v>
      </c>
      <c r="H2659" s="452">
        <v>16</v>
      </c>
      <c r="I2659" s="452">
        <v>59</v>
      </c>
      <c r="J2659" s="453"/>
      <c r="K2659" s="284"/>
      <c r="L2659" s="284"/>
      <c r="M2659" s="284"/>
      <c r="N2659" s="284"/>
      <c r="O2659" s="284"/>
      <c r="P2659" s="284"/>
      <c r="Q2659" s="454"/>
      <c r="R2659" s="455">
        <v>-9</v>
      </c>
      <c r="S2659" s="284">
        <v>0.86</v>
      </c>
    </row>
    <row r="2660" spans="1:23" ht="18" customHeight="1" x14ac:dyDescent="0.35">
      <c r="A2660" s="274">
        <f>MATCH(B2660,STUDIES!$A$3:$A$502,0)</f>
        <v>108</v>
      </c>
      <c r="B2660" s="477" t="s">
        <v>2236</v>
      </c>
      <c r="C2660" s="476"/>
      <c r="D2660" s="488" t="s">
        <v>148</v>
      </c>
      <c r="E2660" s="477" t="s">
        <v>153</v>
      </c>
      <c r="F2660" s="155" t="str">
        <f>_xlfn.XLOOKUP(B2660,STUDIES!$A$3:$A$1063,STUDIES!$G$3:$G$1063,"Not Found!")</f>
        <v>A</v>
      </c>
      <c r="G2660" s="452" t="s">
        <v>147</v>
      </c>
      <c r="H2660" s="452">
        <v>16</v>
      </c>
      <c r="I2660" s="452">
        <v>55</v>
      </c>
      <c r="J2660" s="453"/>
      <c r="K2660" s="284"/>
      <c r="L2660" s="284"/>
      <c r="M2660" s="284"/>
      <c r="N2660" s="284"/>
      <c r="O2660" s="284"/>
      <c r="P2660" s="284"/>
      <c r="Q2660" s="454"/>
      <c r="R2660" s="455">
        <v>-7.5</v>
      </c>
      <c r="S2660" s="284">
        <v>0.93</v>
      </c>
      <c r="T2660" s="284"/>
      <c r="U2660" s="284"/>
      <c r="V2660" s="284"/>
      <c r="W2660" s="284"/>
    </row>
    <row r="2661" spans="1:23" ht="18" customHeight="1" x14ac:dyDescent="0.35">
      <c r="A2661" s="274">
        <f>MATCH(B2661,STUDIES!$A$3:$A$502,0)</f>
        <v>108</v>
      </c>
      <c r="B2661" s="477" t="s">
        <v>2236</v>
      </c>
      <c r="C2661" s="476"/>
      <c r="D2661" s="488" t="s">
        <v>2150</v>
      </c>
      <c r="E2661" s="477" t="s">
        <v>153</v>
      </c>
      <c r="F2661" s="155" t="str">
        <f>_xlfn.XLOOKUP(B2661,STUDIES!$A$3:$A$1063,STUDIES!$G$3:$G$1063,"Not Found!")</f>
        <v>A</v>
      </c>
      <c r="G2661" s="452" t="s">
        <v>147</v>
      </c>
      <c r="H2661" s="452">
        <v>16</v>
      </c>
      <c r="I2661" s="452">
        <v>58</v>
      </c>
      <c r="J2661" s="453"/>
      <c r="K2661" s="284"/>
      <c r="L2661" s="284"/>
      <c r="M2661" s="284"/>
      <c r="N2661" s="284"/>
      <c r="O2661" s="284"/>
      <c r="P2661" s="284"/>
      <c r="Q2661" s="454"/>
      <c r="R2661" s="455">
        <v>-9.8000000000000007</v>
      </c>
      <c r="S2661" s="284">
        <v>0.97</v>
      </c>
      <c r="T2661" s="284"/>
      <c r="U2661" s="284"/>
      <c r="V2661" s="284"/>
      <c r="W2661" s="284"/>
    </row>
    <row r="2662" spans="1:23" ht="18" customHeight="1" x14ac:dyDescent="0.35">
      <c r="A2662" s="274">
        <f>MATCH(B2662,STUDIES!$A$3:$A$502,0)</f>
        <v>108</v>
      </c>
      <c r="B2662" s="477" t="s">
        <v>2236</v>
      </c>
      <c r="C2662" s="476"/>
      <c r="D2662" s="488" t="s">
        <v>2151</v>
      </c>
      <c r="E2662" s="477" t="s">
        <v>153</v>
      </c>
      <c r="F2662" s="155" t="str">
        <f>_xlfn.XLOOKUP(B2662,STUDIES!$A$3:$A$1063,STUDIES!$G$3:$G$1063,"Not Found!")</f>
        <v>A</v>
      </c>
      <c r="G2662" s="452" t="s">
        <v>147</v>
      </c>
      <c r="H2662" s="452">
        <v>16</v>
      </c>
      <c r="I2662" s="452">
        <v>61</v>
      </c>
      <c r="J2662" s="453"/>
      <c r="K2662" s="284"/>
      <c r="L2662" s="284"/>
      <c r="M2662" s="284"/>
      <c r="N2662" s="284"/>
      <c r="O2662" s="284"/>
      <c r="P2662" s="284"/>
      <c r="Q2662" s="454"/>
      <c r="R2662" s="455">
        <v>-9.1</v>
      </c>
      <c r="S2662" s="284">
        <v>0.98</v>
      </c>
      <c r="T2662" s="284"/>
      <c r="U2662" s="284"/>
      <c r="V2662" s="284"/>
      <c r="W2662" s="284"/>
    </row>
    <row r="2663" spans="1:23" ht="18" customHeight="1" x14ac:dyDescent="0.35">
      <c r="A2663" s="274">
        <f>MATCH(B2663,STUDIES!$A$3:$A$502,0)</f>
        <v>108</v>
      </c>
      <c r="B2663" s="477" t="s">
        <v>2236</v>
      </c>
      <c r="C2663" s="476"/>
      <c r="D2663" s="488" t="s">
        <v>2152</v>
      </c>
      <c r="E2663" s="477" t="s">
        <v>153</v>
      </c>
      <c r="F2663" s="155" t="str">
        <f>_xlfn.XLOOKUP(B2663,STUDIES!$A$3:$A$1063,STUDIES!$G$3:$G$1063,"Not Found!")</f>
        <v>A</v>
      </c>
      <c r="G2663" s="452" t="s">
        <v>147</v>
      </c>
      <c r="H2663" s="452">
        <v>16</v>
      </c>
      <c r="I2663" s="452">
        <v>59</v>
      </c>
      <c r="J2663" s="453"/>
      <c r="K2663" s="284"/>
      <c r="L2663" s="284"/>
      <c r="M2663" s="284"/>
      <c r="N2663" s="284"/>
      <c r="O2663" s="284"/>
      <c r="P2663" s="284"/>
      <c r="Q2663" s="454"/>
      <c r="R2663" s="455">
        <v>-10.1</v>
      </c>
      <c r="S2663" s="284">
        <v>0.95</v>
      </c>
      <c r="T2663" s="284"/>
      <c r="U2663" s="284"/>
      <c r="V2663" s="284"/>
      <c r="W2663" s="284"/>
    </row>
    <row r="2664" spans="1:23" ht="18" customHeight="1" x14ac:dyDescent="0.35">
      <c r="A2664" s="274">
        <f>MATCH(B2664,STUDIES!$A$3:$A$502,0)</f>
        <v>108</v>
      </c>
      <c r="B2664" s="477" t="s">
        <v>2236</v>
      </c>
      <c r="C2664" s="476"/>
      <c r="D2664" s="488" t="s">
        <v>148</v>
      </c>
      <c r="E2664" s="477" t="s">
        <v>1258</v>
      </c>
      <c r="F2664" s="155" t="str">
        <f>_xlfn.XLOOKUP(B2664,STUDIES!$A$3:$A$1063,STUDIES!$G$3:$G$1063,"Not Found!")</f>
        <v>A</v>
      </c>
      <c r="G2664" s="452" t="s">
        <v>147</v>
      </c>
      <c r="H2664" s="452">
        <v>16</v>
      </c>
      <c r="I2664" s="452">
        <v>43</v>
      </c>
      <c r="J2664" s="453">
        <v>27</v>
      </c>
      <c r="K2664" s="284"/>
      <c r="L2664" s="284"/>
      <c r="M2664" s="284"/>
      <c r="N2664" s="284"/>
      <c r="O2664" s="284"/>
      <c r="P2664" s="284"/>
      <c r="Q2664" s="454"/>
      <c r="R2664" s="455"/>
      <c r="S2664" s="284"/>
      <c r="T2664" s="284"/>
      <c r="U2664" s="284"/>
      <c r="V2664" s="284"/>
      <c r="W2664" s="284"/>
    </row>
    <row r="2665" spans="1:23" ht="18" customHeight="1" x14ac:dyDescent="0.35">
      <c r="A2665" s="274">
        <f>MATCH(B2665,STUDIES!$A$3:$A$502,0)</f>
        <v>108</v>
      </c>
      <c r="B2665" s="477" t="s">
        <v>2236</v>
      </c>
      <c r="C2665" s="476"/>
      <c r="D2665" s="488" t="s">
        <v>2150</v>
      </c>
      <c r="E2665" s="477" t="s">
        <v>1258</v>
      </c>
      <c r="F2665" s="155" t="str">
        <f>_xlfn.XLOOKUP(B2665,STUDIES!$A$3:$A$1063,STUDIES!$G$3:$G$1063,"Not Found!")</f>
        <v>A</v>
      </c>
      <c r="G2665" s="452" t="s">
        <v>147</v>
      </c>
      <c r="H2665" s="452">
        <v>16</v>
      </c>
      <c r="I2665" s="452">
        <v>39</v>
      </c>
      <c r="J2665" s="453">
        <v>25</v>
      </c>
      <c r="K2665" s="284"/>
      <c r="L2665" s="284"/>
      <c r="M2665" s="284"/>
      <c r="N2665" s="284"/>
      <c r="O2665" s="284"/>
      <c r="P2665" s="284"/>
      <c r="Q2665" s="454"/>
      <c r="R2665" s="455"/>
      <c r="S2665" s="284"/>
      <c r="T2665" s="284"/>
      <c r="U2665" s="284"/>
      <c r="V2665" s="284"/>
      <c r="W2665" s="284"/>
    </row>
    <row r="2666" spans="1:23" ht="18" customHeight="1" x14ac:dyDescent="0.35">
      <c r="A2666" s="274">
        <f>MATCH(B2666,STUDIES!$A$3:$A$502,0)</f>
        <v>108</v>
      </c>
      <c r="B2666" s="477" t="s">
        <v>2236</v>
      </c>
      <c r="C2666" s="476"/>
      <c r="D2666" s="488" t="s">
        <v>2151</v>
      </c>
      <c r="E2666" s="477" t="s">
        <v>1258</v>
      </c>
      <c r="F2666" s="155" t="str">
        <f>_xlfn.XLOOKUP(B2666,STUDIES!$A$3:$A$1063,STUDIES!$G$3:$G$1063,"Not Found!")</f>
        <v>A</v>
      </c>
      <c r="G2666" s="452" t="s">
        <v>147</v>
      </c>
      <c r="H2666" s="452">
        <v>16</v>
      </c>
      <c r="I2666" s="452">
        <v>35</v>
      </c>
      <c r="J2666" s="453">
        <v>21</v>
      </c>
      <c r="K2666" s="284"/>
      <c r="L2666" s="284"/>
      <c r="M2666" s="284"/>
      <c r="N2666" s="284"/>
      <c r="O2666" s="284"/>
      <c r="P2666" s="284"/>
      <c r="Q2666" s="454"/>
      <c r="R2666" s="455"/>
      <c r="S2666" s="284"/>
      <c r="T2666" s="284"/>
      <c r="U2666" s="284"/>
      <c r="V2666" s="284"/>
      <c r="W2666" s="284"/>
    </row>
    <row r="2667" spans="1:23" ht="18" customHeight="1" x14ac:dyDescent="0.35">
      <c r="A2667" s="274">
        <f>MATCH(B2667,STUDIES!$A$3:$A$502,0)</f>
        <v>108</v>
      </c>
      <c r="B2667" s="477" t="s">
        <v>2236</v>
      </c>
      <c r="C2667" s="476"/>
      <c r="D2667" s="488" t="s">
        <v>2152</v>
      </c>
      <c r="E2667" s="477" t="s">
        <v>1258</v>
      </c>
      <c r="F2667" s="155" t="str">
        <f>_xlfn.XLOOKUP(B2667,STUDIES!$A$3:$A$1063,STUDIES!$G$3:$G$1063,"Not Found!")</f>
        <v>A</v>
      </c>
      <c r="G2667" s="452" t="s">
        <v>147</v>
      </c>
      <c r="H2667" s="452">
        <v>16</v>
      </c>
      <c r="I2667" s="452">
        <v>38</v>
      </c>
      <c r="J2667" s="453">
        <v>30</v>
      </c>
      <c r="K2667" s="284"/>
      <c r="L2667" s="284"/>
      <c r="M2667" s="284"/>
      <c r="N2667" s="284"/>
      <c r="O2667" s="284"/>
      <c r="P2667" s="284"/>
      <c r="Q2667" s="454"/>
      <c r="R2667" s="455"/>
      <c r="S2667" s="284"/>
      <c r="T2667" s="284"/>
      <c r="U2667" s="284"/>
      <c r="V2667" s="284"/>
      <c r="W2667" s="284"/>
    </row>
    <row r="2668" spans="1:23" ht="18" customHeight="1" x14ac:dyDescent="0.35">
      <c r="A2668" s="274">
        <f>MATCH(B2668,STUDIES!$A$3:$A$502,0)</f>
        <v>108</v>
      </c>
      <c r="B2668" s="477" t="s">
        <v>2236</v>
      </c>
      <c r="C2668" s="476"/>
      <c r="D2668" s="488" t="s">
        <v>148</v>
      </c>
      <c r="E2668" s="477" t="s">
        <v>695</v>
      </c>
      <c r="F2668" s="155" t="str">
        <f>_xlfn.XLOOKUP(B2668,STUDIES!$A$3:$A$1063,STUDIES!$G$3:$G$1063,"Not Found!")</f>
        <v>A</v>
      </c>
      <c r="G2668" s="452" t="s">
        <v>147</v>
      </c>
      <c r="H2668" s="452">
        <v>16</v>
      </c>
      <c r="I2668" s="452">
        <v>42</v>
      </c>
      <c r="J2668" s="453"/>
      <c r="K2668" s="284"/>
      <c r="L2668" s="284"/>
      <c r="M2668" s="284"/>
      <c r="N2668" s="284"/>
      <c r="O2668" s="284"/>
      <c r="P2668" s="284"/>
      <c r="Q2668" s="454"/>
      <c r="R2668" s="455">
        <v>-3.2</v>
      </c>
      <c r="S2668" s="284">
        <v>0.37</v>
      </c>
      <c r="T2668" s="284"/>
      <c r="U2668" s="284"/>
      <c r="V2668" s="284"/>
      <c r="W2668" s="284"/>
    </row>
    <row r="2669" spans="1:23" ht="18" customHeight="1" x14ac:dyDescent="0.35">
      <c r="A2669" s="274">
        <f>MATCH(B2669,STUDIES!$A$3:$A$502,0)</f>
        <v>108</v>
      </c>
      <c r="B2669" s="477" t="s">
        <v>2236</v>
      </c>
      <c r="C2669" s="476"/>
      <c r="D2669" s="488" t="s">
        <v>2150</v>
      </c>
      <c r="E2669" s="477" t="s">
        <v>695</v>
      </c>
      <c r="F2669" s="155" t="str">
        <f>_xlfn.XLOOKUP(B2669,STUDIES!$A$3:$A$1063,STUDIES!$G$3:$G$1063,"Not Found!")</f>
        <v>A</v>
      </c>
      <c r="G2669" s="452" t="s">
        <v>147</v>
      </c>
      <c r="H2669" s="452">
        <v>16</v>
      </c>
      <c r="I2669" s="452">
        <v>36</v>
      </c>
      <c r="J2669" s="453"/>
      <c r="K2669" s="284"/>
      <c r="L2669" s="284"/>
      <c r="M2669" s="284"/>
      <c r="N2669" s="284"/>
      <c r="O2669" s="284"/>
      <c r="P2669" s="284"/>
      <c r="Q2669" s="454"/>
      <c r="R2669" s="455">
        <v>-3.8</v>
      </c>
      <c r="S2669" s="284">
        <v>0.38</v>
      </c>
      <c r="T2669" s="284"/>
      <c r="U2669" s="284"/>
      <c r="V2669" s="284"/>
      <c r="W2669" s="284"/>
    </row>
    <row r="2670" spans="1:23" ht="18" customHeight="1" x14ac:dyDescent="0.35">
      <c r="A2670" s="274">
        <f>MATCH(B2670,STUDIES!$A$3:$A$502,0)</f>
        <v>108</v>
      </c>
      <c r="B2670" s="477" t="s">
        <v>2236</v>
      </c>
      <c r="C2670" s="476"/>
      <c r="D2670" s="488" t="s">
        <v>2151</v>
      </c>
      <c r="E2670" s="477" t="s">
        <v>695</v>
      </c>
      <c r="F2670" s="155" t="str">
        <f>_xlfn.XLOOKUP(B2670,STUDIES!$A$3:$A$1063,STUDIES!$G$3:$G$1063,"Not Found!")</f>
        <v>A</v>
      </c>
      <c r="G2670" s="452" t="s">
        <v>147</v>
      </c>
      <c r="H2670" s="452">
        <v>16</v>
      </c>
      <c r="I2670" s="452">
        <v>35</v>
      </c>
      <c r="J2670" s="453"/>
      <c r="K2670" s="284"/>
      <c r="L2670" s="284"/>
      <c r="M2670" s="284"/>
      <c r="N2670" s="284"/>
      <c r="O2670" s="284"/>
      <c r="P2670" s="284"/>
      <c r="Q2670" s="454"/>
      <c r="R2670" s="455">
        <v>-4.2</v>
      </c>
      <c r="S2670" s="284">
        <v>0.39</v>
      </c>
      <c r="T2670" s="284"/>
      <c r="U2670" s="284"/>
      <c r="V2670" s="284"/>
      <c r="W2670" s="284"/>
    </row>
    <row r="2671" spans="1:23" ht="18" customHeight="1" x14ac:dyDescent="0.35">
      <c r="A2671" s="274">
        <f>MATCH(B2671,STUDIES!$A$3:$A$502,0)</f>
        <v>108</v>
      </c>
      <c r="B2671" s="477" t="s">
        <v>2236</v>
      </c>
      <c r="C2671" s="476"/>
      <c r="D2671" s="488" t="s">
        <v>2152</v>
      </c>
      <c r="E2671" s="477" t="s">
        <v>695</v>
      </c>
      <c r="F2671" s="155" t="str">
        <f>_xlfn.XLOOKUP(B2671,STUDIES!$A$3:$A$1063,STUDIES!$G$3:$G$1063,"Not Found!")</f>
        <v>A</v>
      </c>
      <c r="G2671" s="452" t="s">
        <v>147</v>
      </c>
      <c r="H2671" s="452">
        <v>16</v>
      </c>
      <c r="I2671" s="452">
        <v>38</v>
      </c>
      <c r="J2671" s="453"/>
      <c r="K2671" s="284"/>
      <c r="L2671" s="284"/>
      <c r="M2671" s="284"/>
      <c r="N2671" s="284"/>
      <c r="O2671" s="284"/>
      <c r="P2671" s="284"/>
      <c r="Q2671" s="454"/>
      <c r="R2671" s="455">
        <v>-4.2</v>
      </c>
      <c r="S2671" s="284">
        <v>0.38</v>
      </c>
      <c r="T2671" s="284"/>
      <c r="U2671" s="284"/>
      <c r="V2671" s="284"/>
      <c r="W2671" s="284"/>
    </row>
    <row r="2672" spans="1:23" ht="18" customHeight="1" x14ac:dyDescent="0.35">
      <c r="A2672" s="274">
        <f>MATCH(B2672,STUDIES!$A$3:$A$502,0)</f>
        <v>108</v>
      </c>
      <c r="B2672" s="477" t="s">
        <v>2236</v>
      </c>
      <c r="C2672" s="476"/>
      <c r="D2672" s="488" t="s">
        <v>148</v>
      </c>
      <c r="E2672" s="477" t="s">
        <v>1167</v>
      </c>
      <c r="F2672" s="155" t="str">
        <f>_xlfn.XLOOKUP(B2672,STUDIES!$A$3:$A$1063,STUDIES!$G$3:$G$1063,"Not Found!")</f>
        <v>A</v>
      </c>
      <c r="G2672" s="452" t="s">
        <v>147</v>
      </c>
      <c r="H2672" s="452">
        <v>16</v>
      </c>
      <c r="I2672" s="452">
        <v>55</v>
      </c>
      <c r="J2672" s="453">
        <v>2</v>
      </c>
      <c r="K2672" s="284"/>
      <c r="L2672" s="284"/>
      <c r="M2672" s="284"/>
      <c r="N2672" s="284"/>
      <c r="O2672" s="284"/>
      <c r="P2672" s="284"/>
      <c r="Q2672" s="454"/>
      <c r="R2672" s="455"/>
      <c r="S2672" s="284"/>
      <c r="T2672" s="284"/>
      <c r="U2672" s="284"/>
      <c r="V2672" s="284"/>
      <c r="W2672" s="284"/>
    </row>
    <row r="2673" spans="1:37" ht="18" customHeight="1" x14ac:dyDescent="0.35">
      <c r="A2673" s="274">
        <f>MATCH(B2673,STUDIES!$A$3:$A$502,0)</f>
        <v>108</v>
      </c>
      <c r="B2673" s="477" t="s">
        <v>2236</v>
      </c>
      <c r="C2673" s="476"/>
      <c r="D2673" s="488" t="s">
        <v>2150</v>
      </c>
      <c r="E2673" s="477" t="s">
        <v>1167</v>
      </c>
      <c r="F2673" s="155" t="str">
        <f>_xlfn.XLOOKUP(B2673,STUDIES!$A$3:$A$1063,STUDIES!$G$3:$G$1063,"Not Found!")</f>
        <v>A</v>
      </c>
      <c r="G2673" s="452" t="s">
        <v>147</v>
      </c>
      <c r="H2673" s="452">
        <v>16</v>
      </c>
      <c r="I2673" s="452">
        <v>58</v>
      </c>
      <c r="J2673" s="453">
        <v>8</v>
      </c>
      <c r="K2673" s="284"/>
      <c r="L2673" s="284"/>
      <c r="M2673" s="284"/>
      <c r="N2673" s="284"/>
      <c r="O2673" s="284"/>
      <c r="P2673" s="284"/>
      <c r="Q2673" s="454"/>
      <c r="R2673" s="455"/>
      <c r="S2673" s="284"/>
      <c r="T2673" s="284"/>
      <c r="U2673" s="284"/>
      <c r="V2673" s="284"/>
      <c r="W2673" s="284"/>
    </row>
    <row r="2674" spans="1:37" ht="18" customHeight="1" x14ac:dyDescent="0.35">
      <c r="A2674" s="274">
        <f>MATCH(B2674,STUDIES!$A$3:$A$502,0)</f>
        <v>108</v>
      </c>
      <c r="B2674" s="477" t="s">
        <v>2236</v>
      </c>
      <c r="C2674" s="476"/>
      <c r="D2674" s="488" t="s">
        <v>2151</v>
      </c>
      <c r="E2674" s="477" t="s">
        <v>1167</v>
      </c>
      <c r="F2674" s="155" t="str">
        <f>_xlfn.XLOOKUP(B2674,STUDIES!$A$3:$A$1063,STUDIES!$G$3:$G$1063,"Not Found!")</f>
        <v>A</v>
      </c>
      <c r="G2674" s="452" t="s">
        <v>147</v>
      </c>
      <c r="H2674" s="452">
        <v>16</v>
      </c>
      <c r="I2674" s="452">
        <v>61</v>
      </c>
      <c r="J2674" s="453">
        <v>14</v>
      </c>
      <c r="K2674" s="284"/>
      <c r="L2674" s="284"/>
      <c r="M2674" s="284"/>
      <c r="N2674" s="284"/>
      <c r="O2674" s="284"/>
      <c r="P2674" s="284"/>
      <c r="Q2674" s="454"/>
      <c r="R2674" s="455"/>
      <c r="S2674" s="284"/>
      <c r="T2674" s="284"/>
      <c r="U2674" s="284"/>
      <c r="V2674" s="284"/>
      <c r="W2674" s="284"/>
    </row>
    <row r="2675" spans="1:37" ht="18" customHeight="1" x14ac:dyDescent="0.35">
      <c r="A2675" s="274">
        <f>MATCH(B2675,STUDIES!$A$3:$A$502,0)</f>
        <v>108</v>
      </c>
      <c r="B2675" s="477" t="s">
        <v>2236</v>
      </c>
      <c r="C2675" s="476"/>
      <c r="D2675" s="488" t="s">
        <v>2152</v>
      </c>
      <c r="E2675" s="477" t="s">
        <v>1167</v>
      </c>
      <c r="F2675" s="155" t="str">
        <f>_xlfn.XLOOKUP(B2675,STUDIES!$A$3:$A$1063,STUDIES!$G$3:$G$1063,"Not Found!")</f>
        <v>A</v>
      </c>
      <c r="G2675" s="452" t="s">
        <v>147</v>
      </c>
      <c r="H2675" s="452">
        <v>16</v>
      </c>
      <c r="I2675" s="452">
        <v>59</v>
      </c>
      <c r="J2675" s="453">
        <v>13</v>
      </c>
      <c r="K2675" s="284"/>
      <c r="L2675" s="284"/>
      <c r="M2675" s="284"/>
      <c r="N2675" s="284"/>
      <c r="O2675" s="284"/>
      <c r="P2675" s="284"/>
      <c r="Q2675" s="454"/>
      <c r="R2675" s="455"/>
      <c r="S2675" s="284"/>
      <c r="T2675" s="284"/>
      <c r="U2675" s="284"/>
      <c r="V2675" s="284"/>
      <c r="W2675" s="284"/>
    </row>
    <row r="2676" spans="1:37" ht="18" customHeight="1" x14ac:dyDescent="0.35">
      <c r="A2676" s="274">
        <f>MATCH(B2676,STUDIES!$A$3:$A$502,0)</f>
        <v>108</v>
      </c>
      <c r="B2676" s="477" t="s">
        <v>2236</v>
      </c>
      <c r="C2676" s="476"/>
      <c r="D2676" s="488" t="s">
        <v>148</v>
      </c>
      <c r="E2676" s="477" t="s">
        <v>1163</v>
      </c>
      <c r="F2676" s="155" t="str">
        <f>_xlfn.XLOOKUP(B2676,STUDIES!$A$3:$A$1063,STUDIES!$G$3:$G$1063,"Not Found!")</f>
        <v>A</v>
      </c>
      <c r="G2676" s="452" t="s">
        <v>147</v>
      </c>
      <c r="H2676" s="452">
        <v>16</v>
      </c>
      <c r="I2676" s="452">
        <v>55</v>
      </c>
      <c r="J2676" s="453">
        <v>0</v>
      </c>
      <c r="K2676" s="284"/>
      <c r="L2676" s="284"/>
      <c r="M2676" s="284"/>
      <c r="N2676" s="284"/>
      <c r="O2676" s="284"/>
      <c r="P2676" s="284"/>
      <c r="Q2676" s="454"/>
      <c r="R2676" s="455"/>
      <c r="S2676" s="284"/>
      <c r="T2676" s="284"/>
      <c r="U2676" s="284"/>
      <c r="V2676" s="284"/>
      <c r="W2676" s="284"/>
    </row>
    <row r="2677" spans="1:37" ht="18" customHeight="1" x14ac:dyDescent="0.35">
      <c r="A2677" s="274">
        <f>MATCH(B2677,STUDIES!$A$3:$A$502,0)</f>
        <v>108</v>
      </c>
      <c r="B2677" s="477" t="s">
        <v>2236</v>
      </c>
      <c r="C2677" s="476"/>
      <c r="D2677" s="488" t="s">
        <v>2150</v>
      </c>
      <c r="E2677" s="477" t="s">
        <v>1163</v>
      </c>
      <c r="F2677" s="155" t="str">
        <f>_xlfn.XLOOKUP(B2677,STUDIES!$A$3:$A$1063,STUDIES!$G$3:$G$1063,"Not Found!")</f>
        <v>A</v>
      </c>
      <c r="G2677" s="452" t="s">
        <v>147</v>
      </c>
      <c r="H2677" s="452">
        <v>16</v>
      </c>
      <c r="I2677" s="452">
        <v>58</v>
      </c>
      <c r="J2677" s="453">
        <v>1</v>
      </c>
      <c r="K2677" s="284"/>
      <c r="L2677" s="284"/>
      <c r="M2677" s="284"/>
      <c r="N2677" s="284"/>
      <c r="O2677" s="284"/>
      <c r="P2677" s="284"/>
      <c r="Q2677" s="454"/>
      <c r="R2677" s="455"/>
      <c r="S2677" s="284"/>
      <c r="T2677" s="284"/>
      <c r="U2677" s="284"/>
      <c r="V2677" s="284"/>
      <c r="W2677" s="284"/>
    </row>
    <row r="2678" spans="1:37" ht="18" customHeight="1" x14ac:dyDescent="0.35">
      <c r="A2678" s="274">
        <f>MATCH(B2678,STUDIES!$A$3:$A$502,0)</f>
        <v>108</v>
      </c>
      <c r="B2678" s="477" t="s">
        <v>2236</v>
      </c>
      <c r="C2678" s="476"/>
      <c r="D2678" s="488" t="s">
        <v>2151</v>
      </c>
      <c r="E2678" s="477" t="s">
        <v>1163</v>
      </c>
      <c r="F2678" s="155" t="str">
        <f>_xlfn.XLOOKUP(B2678,STUDIES!$A$3:$A$1063,STUDIES!$G$3:$G$1063,"Not Found!")</f>
        <v>A</v>
      </c>
      <c r="G2678" s="452" t="s">
        <v>147</v>
      </c>
      <c r="H2678" s="452">
        <v>16</v>
      </c>
      <c r="I2678" s="452">
        <v>61</v>
      </c>
      <c r="J2678" s="453">
        <v>0</v>
      </c>
      <c r="K2678" s="284"/>
      <c r="L2678" s="284"/>
      <c r="M2678" s="284"/>
      <c r="N2678" s="284"/>
      <c r="O2678" s="284"/>
      <c r="P2678" s="284"/>
      <c r="Q2678" s="454"/>
      <c r="R2678" s="455"/>
      <c r="S2678" s="284"/>
      <c r="T2678" s="284"/>
      <c r="U2678" s="284"/>
      <c r="V2678" s="284"/>
      <c r="W2678" s="284"/>
    </row>
    <row r="2679" spans="1:37" ht="18" customHeight="1" x14ac:dyDescent="0.35">
      <c r="A2679" s="274">
        <f>MATCH(B2679,STUDIES!$A$3:$A$502,0)</f>
        <v>108</v>
      </c>
      <c r="B2679" s="477" t="s">
        <v>2236</v>
      </c>
      <c r="C2679" s="476"/>
      <c r="D2679" s="488" t="s">
        <v>2152</v>
      </c>
      <c r="E2679" s="477" t="s">
        <v>1163</v>
      </c>
      <c r="F2679" s="155" t="str">
        <f>_xlfn.XLOOKUP(B2679,STUDIES!$A$3:$A$1063,STUDIES!$G$3:$G$1063,"Not Found!")</f>
        <v>A</v>
      </c>
      <c r="G2679" s="452" t="s">
        <v>147</v>
      </c>
      <c r="H2679" s="452">
        <v>16</v>
      </c>
      <c r="I2679" s="452">
        <v>59</v>
      </c>
      <c r="J2679" s="453">
        <v>2</v>
      </c>
      <c r="K2679" s="284"/>
      <c r="L2679" s="284"/>
      <c r="M2679" s="284"/>
      <c r="N2679" s="284"/>
      <c r="O2679" s="284"/>
      <c r="P2679" s="284"/>
      <c r="Q2679" s="454"/>
      <c r="R2679" s="455"/>
      <c r="S2679" s="284"/>
      <c r="T2679" s="284"/>
      <c r="U2679" s="284"/>
      <c r="V2679" s="284"/>
      <c r="W2679" s="284"/>
    </row>
    <row r="2680" spans="1:37" ht="18" customHeight="1" x14ac:dyDescent="0.35">
      <c r="A2680" s="274">
        <f>MATCH(B2680,STUDIES!$A$3:$A$502,0)</f>
        <v>91</v>
      </c>
      <c r="B2680" s="8" t="s">
        <v>2245</v>
      </c>
      <c r="C2680" s="489"/>
      <c r="D2680" s="8" t="s">
        <v>148</v>
      </c>
      <c r="E2680" s="477" t="s">
        <v>151</v>
      </c>
      <c r="F2680" s="155" t="str">
        <f>_xlfn.XLOOKUP(B2680,STUDIES!$A$3:$A$1063,STUDIES!$G$3:$G$1063,"Not Found!")</f>
        <v>A</v>
      </c>
      <c r="G2680" s="452" t="s">
        <v>147</v>
      </c>
      <c r="H2680" s="452">
        <v>16</v>
      </c>
      <c r="I2680" s="452">
        <v>82</v>
      </c>
      <c r="J2680" s="453"/>
      <c r="K2680" s="284">
        <v>33.700000000000003</v>
      </c>
      <c r="L2680" s="284"/>
      <c r="M2680" s="284">
        <v>11.8</v>
      </c>
      <c r="N2680" s="284"/>
      <c r="O2680" s="284"/>
      <c r="P2680" s="284"/>
      <c r="Q2680" s="454"/>
      <c r="R2680" s="455"/>
      <c r="S2680" s="284"/>
      <c r="T2680" s="284"/>
      <c r="U2680" s="284"/>
      <c r="V2680" s="284"/>
      <c r="W2680" s="284"/>
      <c r="X2680" s="479"/>
      <c r="Y2680" s="284"/>
      <c r="Z2680" s="284"/>
      <c r="AA2680" s="284"/>
      <c r="AB2680" s="284"/>
      <c r="AC2680" s="284"/>
      <c r="AD2680" s="479"/>
      <c r="AE2680" s="284"/>
      <c r="AF2680" s="284"/>
      <c r="AG2680" s="284"/>
      <c r="AH2680" s="284"/>
      <c r="AI2680" s="284"/>
      <c r="AJ2680" s="479">
        <v>-25.3</v>
      </c>
      <c r="AK2680" s="284">
        <v>4.8</v>
      </c>
    </row>
    <row r="2681" spans="1:37" ht="18" customHeight="1" x14ac:dyDescent="0.35">
      <c r="A2681" s="274">
        <f>MATCH(B2681,STUDIES!$A$3:$A$502,0)</f>
        <v>91</v>
      </c>
      <c r="B2681" s="8" t="s">
        <v>2245</v>
      </c>
      <c r="C2681" s="489"/>
      <c r="D2681" s="8" t="s">
        <v>1073</v>
      </c>
      <c r="E2681" s="477" t="s">
        <v>151</v>
      </c>
      <c r="F2681" s="155" t="str">
        <f>_xlfn.XLOOKUP(B2681,STUDIES!$A$3:$A$1063,STUDIES!$G$3:$G$1063,"Not Found!")</f>
        <v>A</v>
      </c>
      <c r="G2681" s="452" t="s">
        <v>147</v>
      </c>
      <c r="H2681" s="452">
        <v>16</v>
      </c>
      <c r="I2681" s="452">
        <v>123</v>
      </c>
      <c r="J2681" s="453"/>
      <c r="K2681" s="284">
        <v>32</v>
      </c>
      <c r="L2681" s="284"/>
      <c r="M2681" s="284">
        <v>11.5</v>
      </c>
      <c r="N2681" s="284"/>
      <c r="O2681" s="284"/>
      <c r="P2681" s="284"/>
      <c r="Q2681" s="454"/>
      <c r="R2681" s="455"/>
      <c r="S2681" s="284"/>
      <c r="T2681" s="284"/>
      <c r="U2681" s="284"/>
      <c r="V2681" s="284"/>
      <c r="W2681" s="284"/>
      <c r="X2681" s="479"/>
      <c r="Y2681" s="284"/>
      <c r="Z2681" s="284"/>
      <c r="AA2681" s="284"/>
      <c r="AB2681" s="284"/>
      <c r="AC2681" s="284"/>
      <c r="AD2681" s="479"/>
      <c r="AE2681" s="284"/>
      <c r="AF2681" s="284"/>
      <c r="AG2681" s="284"/>
      <c r="AH2681" s="284"/>
      <c r="AI2681" s="284"/>
      <c r="AJ2681" s="479">
        <v>-64.2</v>
      </c>
      <c r="AK2681" s="284">
        <v>4.4000000000000004</v>
      </c>
    </row>
    <row r="2682" spans="1:37" ht="18" customHeight="1" x14ac:dyDescent="0.35">
      <c r="A2682" s="274">
        <f>MATCH(B2682,STUDIES!$A$3:$A$502,0)</f>
        <v>91</v>
      </c>
      <c r="B2682" s="8" t="s">
        <v>2245</v>
      </c>
      <c r="C2682" s="489"/>
      <c r="D2682" s="8" t="s">
        <v>1072</v>
      </c>
      <c r="E2682" s="477" t="s">
        <v>151</v>
      </c>
      <c r="F2682" s="155" t="str">
        <f>_xlfn.XLOOKUP(B2682,STUDIES!$A$3:$A$1063,STUDIES!$G$3:$G$1063,"Not Found!")</f>
        <v>A</v>
      </c>
      <c r="G2682" s="452" t="s">
        <v>147</v>
      </c>
      <c r="H2682" s="452">
        <v>16</v>
      </c>
      <c r="I2682" s="452">
        <v>81</v>
      </c>
      <c r="J2682" s="453"/>
      <c r="K2682" s="284">
        <v>34.200000000000003</v>
      </c>
      <c r="L2682" s="284"/>
      <c r="M2682" s="284">
        <v>13</v>
      </c>
      <c r="N2682" s="284"/>
      <c r="O2682" s="284"/>
      <c r="P2682" s="284"/>
      <c r="Q2682" s="454"/>
      <c r="R2682" s="455"/>
      <c r="S2682" s="284"/>
      <c r="T2682" s="284"/>
      <c r="U2682" s="284"/>
      <c r="V2682" s="284"/>
      <c r="W2682" s="284"/>
      <c r="X2682" s="479"/>
      <c r="Y2682" s="284"/>
      <c r="Z2682" s="284"/>
      <c r="AA2682" s="284"/>
      <c r="AB2682" s="284"/>
      <c r="AC2682" s="284"/>
      <c r="AD2682" s="479"/>
      <c r="AE2682" s="284"/>
      <c r="AF2682" s="284"/>
      <c r="AG2682" s="284"/>
      <c r="AH2682" s="284"/>
      <c r="AI2682" s="284"/>
      <c r="AJ2682" s="479">
        <v>-59.7</v>
      </c>
      <c r="AK2682" s="284">
        <v>4.9000000000000004</v>
      </c>
    </row>
    <row r="2683" spans="1:37" ht="18" customHeight="1" x14ac:dyDescent="0.35">
      <c r="A2683" s="274" t="e">
        <f>MATCH(B2683,STUDIES!$A$3:$A$502,0)</f>
        <v>#N/A</v>
      </c>
      <c r="F2683" s="155">
        <f>_xlfn.XLOOKUP(B2683,STUDIES!$A$3:$A$1063,STUDIES!$G$3:$G$1063,"Not Found!")</f>
        <v>0</v>
      </c>
    </row>
    <row r="2684" spans="1:37" ht="18" customHeight="1" x14ac:dyDescent="0.35">
      <c r="A2684" s="274" t="e">
        <f>MATCH(B2684,STUDIES!$A$3:$A$502,0)</f>
        <v>#N/A</v>
      </c>
      <c r="F2684" s="155">
        <f>_xlfn.XLOOKUP(B2684,STUDIES!$A$3:$A$1063,STUDIES!$G$3:$G$1063,"Not Found!")</f>
        <v>0</v>
      </c>
    </row>
    <row r="2685" spans="1:37" ht="18" customHeight="1" x14ac:dyDescent="0.35">
      <c r="A2685" s="274" t="e">
        <f>MATCH(B2685,STUDIES!$A$3:$A$502,0)</f>
        <v>#N/A</v>
      </c>
      <c r="F2685" s="155">
        <f>_xlfn.XLOOKUP(B2685,STUDIES!$A$3:$A$1063,STUDIES!$G$3:$G$1063,"Not Found!")</f>
        <v>0</v>
      </c>
    </row>
    <row r="2686" spans="1:37" ht="18" customHeight="1" x14ac:dyDescent="0.35">
      <c r="A2686" s="274" t="e">
        <f>MATCH(B2686,STUDIES!$A$3:$A$502,0)</f>
        <v>#N/A</v>
      </c>
      <c r="F2686" s="155">
        <f>_xlfn.XLOOKUP(B2686,STUDIES!$A$3:$A$1063,STUDIES!$G$3:$G$1063,"Not Found!")</f>
        <v>0</v>
      </c>
    </row>
    <row r="2687" spans="1:37" ht="18" customHeight="1" x14ac:dyDescent="0.35">
      <c r="A2687" s="274" t="e">
        <f>MATCH(B2687,STUDIES!$A$3:$A$502,0)</f>
        <v>#N/A</v>
      </c>
      <c r="F2687" s="155">
        <f>_xlfn.XLOOKUP(B2687,STUDIES!$A$3:$A$1063,STUDIES!$G$3:$G$1063,"Not Found!")</f>
        <v>0</v>
      </c>
    </row>
    <row r="2688" spans="1:37" ht="18" customHeight="1" x14ac:dyDescent="0.35">
      <c r="A2688" s="274" t="e">
        <f>MATCH(B2688,STUDIES!$A$3:$A$502,0)</f>
        <v>#N/A</v>
      </c>
      <c r="F2688" s="155">
        <f>_xlfn.XLOOKUP(B2688,STUDIES!$A$3:$A$1063,STUDIES!$G$3:$G$1063,"Not Found!")</f>
        <v>0</v>
      </c>
    </row>
    <row r="2689" spans="1:6" ht="18" customHeight="1" x14ac:dyDescent="0.35">
      <c r="A2689" s="274" t="e">
        <f>MATCH(B2689,STUDIES!$A$3:$A$502,0)</f>
        <v>#N/A</v>
      </c>
      <c r="F2689" s="155">
        <f>_xlfn.XLOOKUP(B2689,STUDIES!$A$3:$A$1063,STUDIES!$G$3:$G$1063,"Not Found!")</f>
        <v>0</v>
      </c>
    </row>
    <row r="2690" spans="1:6" ht="18" customHeight="1" x14ac:dyDescent="0.35">
      <c r="A2690" s="274" t="e">
        <f>MATCH(B2690,STUDIES!$A$3:$A$502,0)</f>
        <v>#N/A</v>
      </c>
      <c r="F2690" s="155">
        <f>_xlfn.XLOOKUP(B2690,STUDIES!$A$3:$A$1063,STUDIES!$G$3:$G$1063,"Not Found!")</f>
        <v>0</v>
      </c>
    </row>
    <row r="2691" spans="1:6" ht="18" customHeight="1" x14ac:dyDescent="0.35">
      <c r="A2691" s="274" t="e">
        <f>MATCH(B2691,STUDIES!$A$3:$A$502,0)</f>
        <v>#N/A</v>
      </c>
      <c r="F2691" s="155">
        <f>_xlfn.XLOOKUP(B2691,STUDIES!$A$3:$A$1063,STUDIES!$G$3:$G$1063,"Not Found!")</f>
        <v>0</v>
      </c>
    </row>
    <row r="2692" spans="1:6" ht="18" customHeight="1" x14ac:dyDescent="0.35">
      <c r="A2692" s="274" t="e">
        <f>MATCH(B2692,STUDIES!$A$3:$A$502,0)</f>
        <v>#N/A</v>
      </c>
      <c r="F2692" s="155">
        <f>_xlfn.XLOOKUP(B2692,STUDIES!$A$3:$A$1063,STUDIES!$G$3:$G$1063,"Not Found!")</f>
        <v>0</v>
      </c>
    </row>
    <row r="2693" spans="1:6" ht="18" customHeight="1" x14ac:dyDescent="0.35">
      <c r="A2693" s="274" t="e">
        <f>MATCH(B2693,STUDIES!$A$3:$A$502,0)</f>
        <v>#N/A</v>
      </c>
      <c r="F2693" s="155">
        <f>_xlfn.XLOOKUP(B2693,STUDIES!$A$3:$A$1063,STUDIES!$G$3:$G$1063,"Not Found!")</f>
        <v>0</v>
      </c>
    </row>
    <row r="2694" spans="1:6" ht="18" customHeight="1" x14ac:dyDescent="0.35">
      <c r="A2694" s="274" t="e">
        <f>MATCH(B2694,STUDIES!$A$3:$A$502,0)</f>
        <v>#N/A</v>
      </c>
      <c r="F2694" s="155">
        <f>_xlfn.XLOOKUP(B2694,STUDIES!$A$3:$A$1063,STUDIES!$G$3:$G$1063,"Not Found!")</f>
        <v>0</v>
      </c>
    </row>
    <row r="2695" spans="1:6" ht="18" customHeight="1" x14ac:dyDescent="0.35">
      <c r="A2695" s="274" t="e">
        <f>MATCH(B2695,STUDIES!$A$3:$A$502,0)</f>
        <v>#N/A</v>
      </c>
      <c r="F2695" s="155">
        <f>_xlfn.XLOOKUP(B2695,STUDIES!$A$3:$A$1063,STUDIES!$G$3:$G$1063,"Not Found!")</f>
        <v>0</v>
      </c>
    </row>
    <row r="2696" spans="1:6" ht="18" customHeight="1" x14ac:dyDescent="0.35">
      <c r="A2696" s="274" t="e">
        <f>MATCH(B2696,STUDIES!$A$3:$A$502,0)</f>
        <v>#N/A</v>
      </c>
      <c r="F2696" s="155">
        <f>_xlfn.XLOOKUP(B2696,STUDIES!$A$3:$A$1063,STUDIES!$G$3:$G$1063,"Not Found!")</f>
        <v>0</v>
      </c>
    </row>
    <row r="2697" spans="1:6" ht="18" customHeight="1" x14ac:dyDescent="0.35">
      <c r="A2697" s="274" t="e">
        <f>MATCH(B2697,STUDIES!$A$3:$A$502,0)</f>
        <v>#N/A</v>
      </c>
      <c r="F2697" s="155">
        <f>_xlfn.XLOOKUP(B2697,STUDIES!$A$3:$A$1063,STUDIES!$G$3:$G$1063,"Not Found!")</f>
        <v>0</v>
      </c>
    </row>
    <row r="2698" spans="1:6" ht="18" customHeight="1" x14ac:dyDescent="0.35">
      <c r="A2698" s="274" t="e">
        <f>MATCH(B2698,STUDIES!$A$3:$A$502,0)</f>
        <v>#N/A</v>
      </c>
      <c r="F2698" s="155">
        <f>_xlfn.XLOOKUP(B2698,STUDIES!$A$3:$A$1063,STUDIES!$G$3:$G$1063,"Not Found!")</f>
        <v>0</v>
      </c>
    </row>
    <row r="2699" spans="1:6" ht="18" customHeight="1" x14ac:dyDescent="0.35">
      <c r="A2699" s="274" t="e">
        <f>MATCH(B2699,STUDIES!$A$3:$A$502,0)</f>
        <v>#N/A</v>
      </c>
      <c r="F2699" s="155">
        <f>_xlfn.XLOOKUP(B2699,STUDIES!$A$3:$A$1063,STUDIES!$G$3:$G$1063,"Not Found!")</f>
        <v>0</v>
      </c>
    </row>
    <row r="2700" spans="1:6" ht="18" customHeight="1" x14ac:dyDescent="0.35">
      <c r="A2700" s="274" t="e">
        <f>MATCH(B2700,STUDIES!$A$3:$A$502,0)</f>
        <v>#N/A</v>
      </c>
      <c r="F2700" s="155">
        <f>_xlfn.XLOOKUP(B2700,STUDIES!$A$3:$A$1063,STUDIES!$G$3:$G$1063,"Not Found!")</f>
        <v>0</v>
      </c>
    </row>
    <row r="2701" spans="1:6" ht="18" customHeight="1" x14ac:dyDescent="0.35">
      <c r="A2701" s="274" t="e">
        <f>MATCH(B2701,STUDIES!$A$3:$A$502,0)</f>
        <v>#N/A</v>
      </c>
      <c r="F2701" s="155">
        <f>_xlfn.XLOOKUP(B2701,STUDIES!$A$3:$A$1063,STUDIES!$G$3:$G$1063,"Not Found!")</f>
        <v>0</v>
      </c>
    </row>
    <row r="2702" spans="1:6" ht="18" customHeight="1" x14ac:dyDescent="0.35">
      <c r="A2702" s="274" t="e">
        <f>MATCH(B2702,STUDIES!$A$3:$A$502,0)</f>
        <v>#N/A</v>
      </c>
      <c r="F2702" s="155">
        <f>_xlfn.XLOOKUP(B2702,STUDIES!$A$3:$A$1063,STUDIES!$G$3:$G$1063,"Not Found!")</f>
        <v>0</v>
      </c>
    </row>
    <row r="2703" spans="1:6" ht="18" customHeight="1" x14ac:dyDescent="0.35">
      <c r="A2703" s="274" t="e">
        <f>MATCH(B2703,STUDIES!$A$3:$A$502,0)</f>
        <v>#N/A</v>
      </c>
      <c r="F2703" s="155">
        <f>_xlfn.XLOOKUP(B2703,STUDIES!$A$3:$A$1063,STUDIES!$G$3:$G$1063,"Not Found!")</f>
        <v>0</v>
      </c>
    </row>
    <row r="2704" spans="1:6" ht="18" customHeight="1" x14ac:dyDescent="0.35">
      <c r="A2704" s="274" t="e">
        <f>MATCH(B2704,STUDIES!$A$3:$A$502,0)</f>
        <v>#N/A</v>
      </c>
      <c r="F2704" s="155">
        <f>_xlfn.XLOOKUP(B2704,STUDIES!$A$3:$A$1063,STUDIES!$G$3:$G$1063,"Not Found!")</f>
        <v>0</v>
      </c>
    </row>
    <row r="2705" spans="1:6" ht="18" customHeight="1" x14ac:dyDescent="0.35">
      <c r="A2705" s="274" t="e">
        <f>MATCH(B2705,STUDIES!$A$3:$A$502,0)</f>
        <v>#N/A</v>
      </c>
      <c r="F2705" s="155">
        <f>_xlfn.XLOOKUP(B2705,STUDIES!$A$3:$A$1063,STUDIES!$G$3:$G$1063,"Not Found!")</f>
        <v>0</v>
      </c>
    </row>
    <row r="2706" spans="1:6" ht="18" customHeight="1" x14ac:dyDescent="0.35">
      <c r="A2706" s="274" t="e">
        <f>MATCH(B2706,STUDIES!$A$3:$A$502,0)</f>
        <v>#N/A</v>
      </c>
      <c r="F2706" s="155">
        <f>_xlfn.XLOOKUP(B2706,STUDIES!$A$3:$A$1063,STUDIES!$G$3:$G$1063,"Not Found!")</f>
        <v>0</v>
      </c>
    </row>
    <row r="2707" spans="1:6" ht="18" customHeight="1" x14ac:dyDescent="0.35">
      <c r="A2707" s="274" t="e">
        <f>MATCH(B2707,STUDIES!$A$3:$A$502,0)</f>
        <v>#N/A</v>
      </c>
      <c r="F2707" s="155">
        <f>_xlfn.XLOOKUP(B2707,STUDIES!$A$3:$A$1063,STUDIES!$G$3:$G$1063,"Not Found!")</f>
        <v>0</v>
      </c>
    </row>
    <row r="2708" spans="1:6" ht="18" customHeight="1" x14ac:dyDescent="0.35">
      <c r="A2708" s="274" t="e">
        <f>MATCH(B2708,STUDIES!$A$3:$A$502,0)</f>
        <v>#N/A</v>
      </c>
      <c r="F2708" s="155">
        <f>_xlfn.XLOOKUP(B2708,STUDIES!$A$3:$A$1063,STUDIES!$G$3:$G$1063,"Not Found!")</f>
        <v>0</v>
      </c>
    </row>
    <row r="2709" spans="1:6" ht="18" customHeight="1" x14ac:dyDescent="0.35">
      <c r="A2709" s="274" t="e">
        <f>MATCH(B2709,STUDIES!$A$3:$A$502,0)</f>
        <v>#N/A</v>
      </c>
      <c r="F2709" s="155">
        <f>_xlfn.XLOOKUP(B2709,STUDIES!$A$3:$A$1063,STUDIES!$G$3:$G$1063,"Not Found!")</f>
        <v>0</v>
      </c>
    </row>
    <row r="2710" spans="1:6" ht="18" customHeight="1" x14ac:dyDescent="0.35">
      <c r="A2710" s="274" t="e">
        <f>MATCH(B2710,STUDIES!$A$3:$A$502,0)</f>
        <v>#N/A</v>
      </c>
      <c r="F2710" s="155">
        <f>_xlfn.XLOOKUP(B2710,STUDIES!$A$3:$A$1063,STUDIES!$G$3:$G$1063,"Not Found!")</f>
        <v>0</v>
      </c>
    </row>
    <row r="2711" spans="1:6" ht="18" customHeight="1" x14ac:dyDescent="0.35">
      <c r="A2711" s="274" t="e">
        <f>MATCH(B2711,STUDIES!$A$3:$A$502,0)</f>
        <v>#N/A</v>
      </c>
      <c r="F2711" s="155">
        <f>_xlfn.XLOOKUP(B2711,STUDIES!$A$3:$A$1063,STUDIES!$G$3:$G$1063,"Not Found!")</f>
        <v>0</v>
      </c>
    </row>
    <row r="2712" spans="1:6" ht="18" customHeight="1" x14ac:dyDescent="0.35">
      <c r="A2712" s="274" t="e">
        <f>MATCH(B2712,STUDIES!$A$3:$A$502,0)</f>
        <v>#N/A</v>
      </c>
      <c r="F2712" s="155">
        <f>_xlfn.XLOOKUP(B2712,STUDIES!$A$3:$A$1063,STUDIES!$G$3:$G$1063,"Not Found!")</f>
        <v>0</v>
      </c>
    </row>
    <row r="2713" spans="1:6" ht="18" customHeight="1" x14ac:dyDescent="0.35">
      <c r="A2713" s="274" t="e">
        <f>MATCH(B2713,STUDIES!$A$3:$A$502,0)</f>
        <v>#N/A</v>
      </c>
      <c r="F2713" s="155">
        <f>_xlfn.XLOOKUP(B2713,STUDIES!$A$3:$A$1063,STUDIES!$G$3:$G$1063,"Not Found!")</f>
        <v>0</v>
      </c>
    </row>
    <row r="2714" spans="1:6" ht="18" customHeight="1" x14ac:dyDescent="0.35">
      <c r="A2714" s="274" t="e">
        <f>MATCH(B2714,STUDIES!$A$3:$A$502,0)</f>
        <v>#N/A</v>
      </c>
      <c r="F2714" s="155">
        <f>_xlfn.XLOOKUP(B2714,STUDIES!$A$3:$A$1063,STUDIES!$G$3:$G$1063,"Not Found!")</f>
        <v>0</v>
      </c>
    </row>
    <row r="2715" spans="1:6" ht="18" customHeight="1" x14ac:dyDescent="0.35">
      <c r="A2715" s="274" t="e">
        <f>MATCH(B2715,STUDIES!$A$3:$A$502,0)</f>
        <v>#N/A</v>
      </c>
      <c r="F2715" s="155">
        <f>_xlfn.XLOOKUP(B2715,STUDIES!$A$3:$A$1063,STUDIES!$G$3:$G$1063,"Not Found!")</f>
        <v>0</v>
      </c>
    </row>
    <row r="2716" spans="1:6" ht="18" customHeight="1" x14ac:dyDescent="0.35">
      <c r="A2716" s="274" t="e">
        <f>MATCH(B2716,STUDIES!$A$3:$A$502,0)</f>
        <v>#N/A</v>
      </c>
      <c r="F2716" s="155">
        <f>_xlfn.XLOOKUP(B2716,STUDIES!$A$3:$A$1063,STUDIES!$G$3:$G$1063,"Not Found!")</f>
        <v>0</v>
      </c>
    </row>
    <row r="2717" spans="1:6" ht="18" customHeight="1" x14ac:dyDescent="0.35">
      <c r="A2717" s="274" t="e">
        <f>MATCH(B2717,STUDIES!$A$3:$A$502,0)</f>
        <v>#N/A</v>
      </c>
      <c r="F2717" s="155">
        <f>_xlfn.XLOOKUP(B2717,STUDIES!$A$3:$A$1063,STUDIES!$G$3:$G$1063,"Not Found!")</f>
        <v>0</v>
      </c>
    </row>
    <row r="2718" spans="1:6" ht="18" customHeight="1" x14ac:dyDescent="0.35">
      <c r="A2718" s="274" t="e">
        <f>MATCH(B2718,STUDIES!$A$3:$A$502,0)</f>
        <v>#N/A</v>
      </c>
      <c r="F2718" s="155">
        <f>_xlfn.XLOOKUP(B2718,STUDIES!$A$3:$A$1063,STUDIES!$G$3:$G$1063,"Not Found!")</f>
        <v>0</v>
      </c>
    </row>
    <row r="2719" spans="1:6" ht="18" customHeight="1" x14ac:dyDescent="0.35">
      <c r="A2719" s="274" t="e">
        <f>MATCH(B2719,STUDIES!$A$3:$A$502,0)</f>
        <v>#N/A</v>
      </c>
      <c r="F2719" s="155">
        <f>_xlfn.XLOOKUP(B2719,STUDIES!$A$3:$A$1063,STUDIES!$G$3:$G$1063,"Not Found!")</f>
        <v>0</v>
      </c>
    </row>
    <row r="2720" spans="1:6" ht="18" customHeight="1" x14ac:dyDescent="0.35">
      <c r="A2720" s="274" t="e">
        <f>MATCH(B2720,STUDIES!$A$3:$A$502,0)</f>
        <v>#N/A</v>
      </c>
      <c r="F2720" s="155">
        <f>_xlfn.XLOOKUP(B2720,STUDIES!$A$3:$A$1063,STUDIES!$G$3:$G$1063,"Not Found!")</f>
        <v>0</v>
      </c>
    </row>
    <row r="2721" spans="1:6" ht="18" customHeight="1" x14ac:dyDescent="0.35">
      <c r="A2721" s="274" t="e">
        <f>MATCH(B2721,STUDIES!$A$3:$A$502,0)</f>
        <v>#N/A</v>
      </c>
      <c r="F2721" s="155">
        <f>_xlfn.XLOOKUP(B2721,STUDIES!$A$3:$A$1063,STUDIES!$G$3:$G$1063,"Not Found!")</f>
        <v>0</v>
      </c>
    </row>
    <row r="2722" spans="1:6" ht="18" customHeight="1" x14ac:dyDescent="0.35">
      <c r="A2722" s="274" t="e">
        <f>MATCH(B2722,STUDIES!$A$3:$A$502,0)</f>
        <v>#N/A</v>
      </c>
      <c r="F2722" s="155">
        <f>_xlfn.XLOOKUP(B2722,STUDIES!$A$3:$A$1063,STUDIES!$G$3:$G$1063,"Not Found!")</f>
        <v>0</v>
      </c>
    </row>
    <row r="2723" spans="1:6" ht="18" customHeight="1" x14ac:dyDescent="0.35">
      <c r="A2723" s="274" t="e">
        <f>MATCH(B2723,STUDIES!$A$3:$A$502,0)</f>
        <v>#N/A</v>
      </c>
      <c r="F2723" s="155">
        <f>_xlfn.XLOOKUP(B2723,STUDIES!$A$3:$A$1063,STUDIES!$G$3:$G$1063,"Not Found!")</f>
        <v>0</v>
      </c>
    </row>
    <row r="2724" spans="1:6" ht="18" customHeight="1" x14ac:dyDescent="0.35">
      <c r="A2724" s="274" t="e">
        <f>MATCH(B2724,STUDIES!$A$3:$A$502,0)</f>
        <v>#N/A</v>
      </c>
      <c r="F2724" s="155">
        <f>_xlfn.XLOOKUP(B2724,STUDIES!$A$3:$A$1063,STUDIES!$G$3:$G$1063,"Not Found!")</f>
        <v>0</v>
      </c>
    </row>
    <row r="2725" spans="1:6" ht="18" customHeight="1" x14ac:dyDescent="0.35">
      <c r="A2725" s="274" t="e">
        <f>MATCH(B2725,STUDIES!$A$3:$A$502,0)</f>
        <v>#N/A</v>
      </c>
      <c r="F2725" s="155">
        <f>_xlfn.XLOOKUP(B2725,STUDIES!$A$3:$A$1063,STUDIES!$G$3:$G$1063,"Not Found!")</f>
        <v>0</v>
      </c>
    </row>
    <row r="2726" spans="1:6" ht="18" customHeight="1" x14ac:dyDescent="0.35">
      <c r="A2726" s="274" t="e">
        <f>MATCH(B2726,STUDIES!$A$3:$A$502,0)</f>
        <v>#N/A</v>
      </c>
      <c r="F2726" s="155">
        <f>_xlfn.XLOOKUP(B2726,STUDIES!$A$3:$A$1063,STUDIES!$G$3:$G$1063,"Not Found!")</f>
        <v>0</v>
      </c>
    </row>
    <row r="2727" spans="1:6" ht="18" customHeight="1" x14ac:dyDescent="0.35">
      <c r="A2727" s="274" t="e">
        <f>MATCH(B2727,STUDIES!$A$3:$A$502,0)</f>
        <v>#N/A</v>
      </c>
      <c r="F2727" s="155">
        <f>_xlfn.XLOOKUP(B2727,STUDIES!$A$3:$A$1063,STUDIES!$G$3:$G$1063,"Not Found!")</f>
        <v>0</v>
      </c>
    </row>
    <row r="2728" spans="1:6" ht="18" customHeight="1" x14ac:dyDescent="0.35">
      <c r="A2728" s="274" t="e">
        <f>MATCH(B2728,STUDIES!$A$3:$A$502,0)</f>
        <v>#N/A</v>
      </c>
      <c r="F2728" s="155">
        <f>_xlfn.XLOOKUP(B2728,STUDIES!$A$3:$A$1063,STUDIES!$G$3:$G$1063,"Not Found!")</f>
        <v>0</v>
      </c>
    </row>
    <row r="2729" spans="1:6" ht="18" customHeight="1" x14ac:dyDescent="0.35">
      <c r="A2729" s="274" t="e">
        <f>MATCH(B2729,STUDIES!$A$3:$A$502,0)</f>
        <v>#N/A</v>
      </c>
      <c r="F2729" s="155">
        <f>_xlfn.XLOOKUP(B2729,STUDIES!$A$3:$A$1063,STUDIES!$G$3:$G$1063,"Not Found!")</f>
        <v>0</v>
      </c>
    </row>
    <row r="2730" spans="1:6" ht="18" customHeight="1" x14ac:dyDescent="0.35">
      <c r="A2730" s="274" t="e">
        <f>MATCH(B2730,STUDIES!$A$3:$A$502,0)</f>
        <v>#N/A</v>
      </c>
      <c r="F2730" s="155">
        <f>_xlfn.XLOOKUP(B2730,STUDIES!$A$3:$A$1063,STUDIES!$G$3:$G$1063,"Not Found!")</f>
        <v>0</v>
      </c>
    </row>
    <row r="2731" spans="1:6" ht="18" customHeight="1" x14ac:dyDescent="0.35">
      <c r="A2731" s="274" t="e">
        <f>MATCH(B2731,STUDIES!$A$3:$A$502,0)</f>
        <v>#N/A</v>
      </c>
      <c r="F2731" s="155">
        <f>_xlfn.XLOOKUP(B2731,STUDIES!$A$3:$A$1063,STUDIES!$G$3:$G$1063,"Not Found!")</f>
        <v>0</v>
      </c>
    </row>
    <row r="2732" spans="1:6" ht="18" customHeight="1" x14ac:dyDescent="0.35">
      <c r="A2732" s="274" t="e">
        <f>MATCH(B2732,STUDIES!$A$3:$A$502,0)</f>
        <v>#N/A</v>
      </c>
      <c r="F2732" s="155">
        <f>_xlfn.XLOOKUP(B2732,STUDIES!$A$3:$A$1063,STUDIES!$G$3:$G$1063,"Not Found!")</f>
        <v>0</v>
      </c>
    </row>
    <row r="2733" spans="1:6" ht="18" customHeight="1" x14ac:dyDescent="0.35">
      <c r="A2733" s="274" t="e">
        <f>MATCH(B2733,STUDIES!$A$3:$A$502,0)</f>
        <v>#N/A</v>
      </c>
      <c r="F2733" s="155">
        <f>_xlfn.XLOOKUP(B2733,STUDIES!$A$3:$A$1063,STUDIES!$G$3:$G$1063,"Not Found!")</f>
        <v>0</v>
      </c>
    </row>
    <row r="2734" spans="1:6" ht="18" customHeight="1" x14ac:dyDescent="0.35">
      <c r="A2734" s="274" t="e">
        <f>MATCH(B2734,STUDIES!$A$3:$A$502,0)</f>
        <v>#N/A</v>
      </c>
      <c r="F2734" s="155">
        <f>_xlfn.XLOOKUP(B2734,STUDIES!$A$3:$A$1063,STUDIES!$G$3:$G$1063,"Not Found!")</f>
        <v>0</v>
      </c>
    </row>
    <row r="2735" spans="1:6" ht="18" customHeight="1" x14ac:dyDescent="0.35">
      <c r="A2735" s="274" t="e">
        <f>MATCH(B2735,STUDIES!$A$3:$A$502,0)</f>
        <v>#N/A</v>
      </c>
      <c r="F2735" s="155">
        <f>_xlfn.XLOOKUP(B2735,STUDIES!$A$3:$A$1063,STUDIES!$G$3:$G$1063,"Not Found!")</f>
        <v>0</v>
      </c>
    </row>
    <row r="2736" spans="1:6" ht="18" customHeight="1" x14ac:dyDescent="0.35">
      <c r="A2736" s="274" t="e">
        <f>MATCH(B2736,STUDIES!$A$3:$A$502,0)</f>
        <v>#N/A</v>
      </c>
      <c r="F2736" s="155">
        <f>_xlfn.XLOOKUP(B2736,STUDIES!$A$3:$A$1063,STUDIES!$G$3:$G$1063,"Not Found!")</f>
        <v>0</v>
      </c>
    </row>
    <row r="2737" spans="1:6" ht="18" customHeight="1" x14ac:dyDescent="0.35">
      <c r="A2737" s="274" t="e">
        <f>MATCH(B2737,STUDIES!$A$3:$A$502,0)</f>
        <v>#N/A</v>
      </c>
      <c r="F2737" s="155">
        <f>_xlfn.XLOOKUP(B2737,STUDIES!$A$3:$A$1063,STUDIES!$G$3:$G$1063,"Not Found!")</f>
        <v>0</v>
      </c>
    </row>
    <row r="2738" spans="1:6" ht="18" customHeight="1" x14ac:dyDescent="0.35">
      <c r="A2738" s="274" t="e">
        <f>MATCH(B2738,STUDIES!$A$3:$A$502,0)</f>
        <v>#N/A</v>
      </c>
      <c r="F2738" s="155">
        <f>_xlfn.XLOOKUP(B2738,STUDIES!$A$3:$A$1063,STUDIES!$G$3:$G$1063,"Not Found!")</f>
        <v>0</v>
      </c>
    </row>
    <row r="2739" spans="1:6" ht="18" customHeight="1" x14ac:dyDescent="0.35">
      <c r="A2739" s="274" t="e">
        <f>MATCH(B2739,STUDIES!$A$3:$A$502,0)</f>
        <v>#N/A</v>
      </c>
      <c r="F2739" s="155">
        <f>_xlfn.XLOOKUP(B2739,STUDIES!$A$3:$A$1063,STUDIES!$G$3:$G$1063,"Not Found!")</f>
        <v>0</v>
      </c>
    </row>
    <row r="2740" spans="1:6" ht="18" customHeight="1" x14ac:dyDescent="0.35">
      <c r="A2740" s="274" t="e">
        <f>MATCH(B2740,STUDIES!$A$3:$A$502,0)</f>
        <v>#N/A</v>
      </c>
      <c r="F2740" s="155">
        <f>_xlfn.XLOOKUP(B2740,STUDIES!$A$3:$A$1063,STUDIES!$G$3:$G$1063,"Not Found!")</f>
        <v>0</v>
      </c>
    </row>
    <row r="2741" spans="1:6" ht="18" customHeight="1" x14ac:dyDescent="0.35">
      <c r="A2741" s="274" t="e">
        <f>MATCH(B2741,STUDIES!$A$3:$A$502,0)</f>
        <v>#N/A</v>
      </c>
      <c r="F2741" s="155">
        <f>_xlfn.XLOOKUP(B2741,STUDIES!$A$3:$A$1063,STUDIES!$G$3:$G$1063,"Not Found!")</f>
        <v>0</v>
      </c>
    </row>
    <row r="2742" spans="1:6" ht="18" customHeight="1" x14ac:dyDescent="0.35">
      <c r="A2742" s="274" t="e">
        <f>MATCH(B2742,STUDIES!$A$3:$A$502,0)</f>
        <v>#N/A</v>
      </c>
      <c r="F2742" s="155">
        <f>_xlfn.XLOOKUP(B2742,STUDIES!$A$3:$A$1063,STUDIES!$G$3:$G$1063,"Not Found!")</f>
        <v>0</v>
      </c>
    </row>
    <row r="2743" spans="1:6" ht="18" customHeight="1" x14ac:dyDescent="0.35">
      <c r="A2743" s="274" t="e">
        <f>MATCH(B2743,STUDIES!$A$3:$A$502,0)</f>
        <v>#N/A</v>
      </c>
      <c r="F2743" s="155">
        <f>_xlfn.XLOOKUP(B2743,STUDIES!$A$3:$A$1063,STUDIES!$G$3:$G$1063,"Not Found!")</f>
        <v>0</v>
      </c>
    </row>
    <row r="2744" spans="1:6" ht="18" customHeight="1" x14ac:dyDescent="0.35">
      <c r="A2744" s="274" t="e">
        <f>MATCH(B2744,STUDIES!$A$3:$A$502,0)</f>
        <v>#N/A</v>
      </c>
      <c r="F2744" s="155">
        <f>_xlfn.XLOOKUP(B2744,STUDIES!$A$3:$A$1063,STUDIES!$G$3:$G$1063,"Not Found!")</f>
        <v>0</v>
      </c>
    </row>
    <row r="2745" spans="1:6" ht="18" customHeight="1" x14ac:dyDescent="0.35">
      <c r="A2745" s="274" t="e">
        <f>MATCH(B2745,STUDIES!$A$3:$A$502,0)</f>
        <v>#N/A</v>
      </c>
      <c r="F2745" s="155">
        <f>_xlfn.XLOOKUP(B2745,STUDIES!$A$3:$A$1063,STUDIES!$G$3:$G$1063,"Not Found!")</f>
        <v>0</v>
      </c>
    </row>
    <row r="2746" spans="1:6" ht="18" customHeight="1" x14ac:dyDescent="0.35">
      <c r="A2746" s="274" t="e">
        <f>MATCH(B2746,STUDIES!$A$3:$A$502,0)</f>
        <v>#N/A</v>
      </c>
      <c r="F2746" s="155">
        <f>_xlfn.XLOOKUP(B2746,STUDIES!$A$3:$A$1063,STUDIES!$G$3:$G$1063,"Not Found!")</f>
        <v>0</v>
      </c>
    </row>
    <row r="2747" spans="1:6" ht="18" customHeight="1" x14ac:dyDescent="0.35">
      <c r="A2747" s="274" t="e">
        <f>MATCH(B2747,STUDIES!$A$3:$A$502,0)</f>
        <v>#N/A</v>
      </c>
      <c r="F2747" s="155">
        <f>_xlfn.XLOOKUP(B2747,STUDIES!$A$3:$A$1063,STUDIES!$G$3:$G$1063,"Not Found!")</f>
        <v>0</v>
      </c>
    </row>
    <row r="2748" spans="1:6" ht="18" customHeight="1" x14ac:dyDescent="0.35">
      <c r="A2748" s="274" t="e">
        <f>MATCH(B2748,STUDIES!$A$3:$A$502,0)</f>
        <v>#N/A</v>
      </c>
      <c r="F2748" s="155">
        <f>_xlfn.XLOOKUP(B2748,STUDIES!$A$3:$A$1063,STUDIES!$G$3:$G$1063,"Not Found!")</f>
        <v>0</v>
      </c>
    </row>
    <row r="2749" spans="1:6" ht="18" customHeight="1" x14ac:dyDescent="0.35">
      <c r="A2749" s="274" t="e">
        <f>MATCH(B2749,STUDIES!$A$3:$A$502,0)</f>
        <v>#N/A</v>
      </c>
      <c r="F2749" s="155">
        <f>_xlfn.XLOOKUP(B2749,STUDIES!$A$3:$A$1063,STUDIES!$G$3:$G$1063,"Not Found!")</f>
        <v>0</v>
      </c>
    </row>
    <row r="2750" spans="1:6" ht="18" customHeight="1" x14ac:dyDescent="0.35">
      <c r="A2750" s="274" t="e">
        <f>MATCH(B2750,STUDIES!$A$3:$A$502,0)</f>
        <v>#N/A</v>
      </c>
      <c r="F2750" s="155">
        <f>_xlfn.XLOOKUP(B2750,STUDIES!$A$3:$A$1063,STUDIES!$G$3:$G$1063,"Not Found!")</f>
        <v>0</v>
      </c>
    </row>
    <row r="2751" spans="1:6" ht="18" customHeight="1" x14ac:dyDescent="0.35">
      <c r="A2751" s="274" t="e">
        <f>MATCH(B2751,STUDIES!$A$3:$A$502,0)</f>
        <v>#N/A</v>
      </c>
      <c r="F2751" s="155">
        <f>_xlfn.XLOOKUP(B2751,STUDIES!$A$3:$A$1063,STUDIES!$G$3:$G$1063,"Not Found!")</f>
        <v>0</v>
      </c>
    </row>
    <row r="2752" spans="1:6" ht="18" customHeight="1" x14ac:dyDescent="0.35">
      <c r="A2752" s="274" t="e">
        <f>MATCH(B2752,STUDIES!$A$3:$A$502,0)</f>
        <v>#N/A</v>
      </c>
      <c r="F2752" s="155">
        <f>_xlfn.XLOOKUP(B2752,STUDIES!$A$3:$A$1063,STUDIES!$G$3:$G$1063,"Not Found!")</f>
        <v>0</v>
      </c>
    </row>
    <row r="2753" spans="1:6" ht="18" customHeight="1" x14ac:dyDescent="0.35">
      <c r="A2753" s="274" t="e">
        <f>MATCH(B2753,STUDIES!$A$3:$A$502,0)</f>
        <v>#N/A</v>
      </c>
      <c r="F2753" s="155">
        <f>_xlfn.XLOOKUP(B2753,STUDIES!$A$3:$A$1063,STUDIES!$G$3:$G$1063,"Not Found!")</f>
        <v>0</v>
      </c>
    </row>
    <row r="2754" spans="1:6" ht="18" customHeight="1" x14ac:dyDescent="0.35">
      <c r="A2754" s="274" t="e">
        <f>MATCH(B2754,STUDIES!$A$3:$A$502,0)</f>
        <v>#N/A</v>
      </c>
      <c r="F2754" s="155">
        <f>_xlfn.XLOOKUP(B2754,STUDIES!$A$3:$A$1063,STUDIES!$G$3:$G$1063,"Not Found!")</f>
        <v>0</v>
      </c>
    </row>
    <row r="2755" spans="1:6" ht="18" customHeight="1" x14ac:dyDescent="0.35">
      <c r="A2755" s="274" t="e">
        <f>MATCH(B2755,STUDIES!$A$3:$A$502,0)</f>
        <v>#N/A</v>
      </c>
      <c r="F2755" s="155">
        <f>_xlfn.XLOOKUP(B2755,STUDIES!$A$3:$A$1063,STUDIES!$G$3:$G$1063,"Not Found!")</f>
        <v>0</v>
      </c>
    </row>
    <row r="2756" spans="1:6" ht="18" customHeight="1" x14ac:dyDescent="0.35">
      <c r="A2756" s="274" t="e">
        <f>MATCH(B2756,STUDIES!$A$3:$A$502,0)</f>
        <v>#N/A</v>
      </c>
      <c r="F2756" s="155">
        <f>_xlfn.XLOOKUP(B2756,STUDIES!$A$3:$A$1063,STUDIES!$G$3:$G$1063,"Not Found!")</f>
        <v>0</v>
      </c>
    </row>
    <row r="2757" spans="1:6" ht="18" customHeight="1" x14ac:dyDescent="0.35">
      <c r="A2757" s="274" t="e">
        <f>MATCH(B2757,STUDIES!$A$3:$A$502,0)</f>
        <v>#N/A</v>
      </c>
      <c r="F2757" s="155">
        <f>_xlfn.XLOOKUP(B2757,STUDIES!$A$3:$A$1063,STUDIES!$G$3:$G$1063,"Not Found!")</f>
        <v>0</v>
      </c>
    </row>
    <row r="2758" spans="1:6" ht="18" customHeight="1" x14ac:dyDescent="0.35">
      <c r="A2758" s="274" t="e">
        <f>MATCH(B2758,STUDIES!$A$3:$A$502,0)</f>
        <v>#N/A</v>
      </c>
      <c r="F2758" s="155">
        <f>_xlfn.XLOOKUP(B2758,STUDIES!$A$3:$A$1063,STUDIES!$G$3:$G$1063,"Not Found!")</f>
        <v>0</v>
      </c>
    </row>
    <row r="2759" spans="1:6" ht="18" customHeight="1" x14ac:dyDescent="0.35">
      <c r="A2759" s="274" t="e">
        <f>MATCH(B2759,STUDIES!$A$3:$A$502,0)</f>
        <v>#N/A</v>
      </c>
      <c r="F2759" s="155">
        <f>_xlfn.XLOOKUP(B2759,STUDIES!$A$3:$A$1063,STUDIES!$G$3:$G$1063,"Not Found!")</f>
        <v>0</v>
      </c>
    </row>
    <row r="2760" spans="1:6" ht="18" customHeight="1" x14ac:dyDescent="0.35">
      <c r="A2760" s="274" t="e">
        <f>MATCH(B2760,STUDIES!$A$3:$A$502,0)</f>
        <v>#N/A</v>
      </c>
      <c r="F2760" s="155">
        <f>_xlfn.XLOOKUP(B2760,STUDIES!$A$3:$A$1063,STUDIES!$G$3:$G$1063,"Not Found!")</f>
        <v>0</v>
      </c>
    </row>
    <row r="2761" spans="1:6" ht="18" customHeight="1" x14ac:dyDescent="0.35">
      <c r="A2761" s="274" t="e">
        <f>MATCH(B2761,STUDIES!$A$3:$A$502,0)</f>
        <v>#N/A</v>
      </c>
      <c r="F2761" s="155">
        <f>_xlfn.XLOOKUP(B2761,STUDIES!$A$3:$A$1063,STUDIES!$G$3:$G$1063,"Not Found!")</f>
        <v>0</v>
      </c>
    </row>
    <row r="2762" spans="1:6" ht="18" customHeight="1" x14ac:dyDescent="0.35">
      <c r="A2762" s="274" t="e">
        <f>MATCH(B2762,STUDIES!$A$3:$A$502,0)</f>
        <v>#N/A</v>
      </c>
      <c r="F2762" s="155">
        <f>_xlfn.XLOOKUP(B2762,STUDIES!$A$3:$A$1063,STUDIES!$G$3:$G$1063,"Not Found!")</f>
        <v>0</v>
      </c>
    </row>
    <row r="2763" spans="1:6" ht="18" customHeight="1" x14ac:dyDescent="0.35">
      <c r="A2763" s="274" t="e">
        <f>MATCH(B2763,STUDIES!$A$3:$A$502,0)</f>
        <v>#N/A</v>
      </c>
      <c r="F2763" s="155">
        <f>_xlfn.XLOOKUP(B2763,STUDIES!$A$3:$A$1063,STUDIES!$G$3:$G$1063,"Not Found!")</f>
        <v>0</v>
      </c>
    </row>
    <row r="2764" spans="1:6" ht="18" customHeight="1" x14ac:dyDescent="0.35">
      <c r="A2764" s="274" t="e">
        <f>MATCH(B2764,STUDIES!$A$3:$A$502,0)</f>
        <v>#N/A</v>
      </c>
      <c r="F2764" s="155">
        <f>_xlfn.XLOOKUP(B2764,STUDIES!$A$3:$A$1063,STUDIES!$G$3:$G$1063,"Not Found!")</f>
        <v>0</v>
      </c>
    </row>
    <row r="2765" spans="1:6" ht="18" customHeight="1" x14ac:dyDescent="0.35">
      <c r="A2765" s="274" t="e">
        <f>MATCH(B2765,STUDIES!$A$3:$A$502,0)</f>
        <v>#N/A</v>
      </c>
      <c r="F2765" s="155">
        <f>_xlfn.XLOOKUP(B2765,STUDIES!$A$3:$A$1063,STUDIES!$G$3:$G$1063,"Not Found!")</f>
        <v>0</v>
      </c>
    </row>
    <row r="2766" spans="1:6" ht="18" customHeight="1" x14ac:dyDescent="0.35">
      <c r="A2766" s="274" t="e">
        <f>MATCH(B2766,STUDIES!$A$3:$A$502,0)</f>
        <v>#N/A</v>
      </c>
      <c r="F2766" s="155">
        <f>_xlfn.XLOOKUP(B2766,STUDIES!$A$3:$A$1063,STUDIES!$G$3:$G$1063,"Not Found!")</f>
        <v>0</v>
      </c>
    </row>
    <row r="2767" spans="1:6" ht="18" customHeight="1" x14ac:dyDescent="0.35">
      <c r="A2767" s="274" t="e">
        <f>MATCH(B2767,STUDIES!$A$3:$A$502,0)</f>
        <v>#N/A</v>
      </c>
      <c r="F2767" s="155">
        <f>_xlfn.XLOOKUP(B2767,STUDIES!$A$3:$A$1063,STUDIES!$G$3:$G$1063,"Not Found!")</f>
        <v>0</v>
      </c>
    </row>
    <row r="2768" spans="1:6" ht="18" customHeight="1" x14ac:dyDescent="0.35">
      <c r="A2768" s="274" t="e">
        <f>MATCH(B2768,STUDIES!$A$3:$A$502,0)</f>
        <v>#N/A</v>
      </c>
      <c r="F2768" s="155">
        <f>_xlfn.XLOOKUP(B2768,STUDIES!$A$3:$A$1063,STUDIES!$G$3:$G$1063,"Not Found!")</f>
        <v>0</v>
      </c>
    </row>
    <row r="2769" spans="1:6" ht="18" customHeight="1" x14ac:dyDescent="0.35">
      <c r="A2769" s="274" t="e">
        <f>MATCH(B2769,STUDIES!$A$3:$A$502,0)</f>
        <v>#N/A</v>
      </c>
      <c r="F2769" s="155">
        <f>_xlfn.XLOOKUP(B2769,STUDIES!$A$3:$A$1063,STUDIES!$G$3:$G$1063,"Not Found!")</f>
        <v>0</v>
      </c>
    </row>
    <row r="2770" spans="1:6" ht="18" customHeight="1" x14ac:dyDescent="0.35">
      <c r="A2770" s="274" t="e">
        <f>MATCH(B2770,STUDIES!$A$3:$A$502,0)</f>
        <v>#N/A</v>
      </c>
      <c r="F2770" s="155">
        <f>_xlfn.XLOOKUP(B2770,STUDIES!$A$3:$A$1063,STUDIES!$G$3:$G$1063,"Not Found!")</f>
        <v>0</v>
      </c>
    </row>
    <row r="2771" spans="1:6" ht="18" customHeight="1" x14ac:dyDescent="0.35">
      <c r="A2771" s="274" t="e">
        <f>MATCH(B2771,STUDIES!$A$3:$A$502,0)</f>
        <v>#N/A</v>
      </c>
      <c r="F2771" s="155">
        <f>_xlfn.XLOOKUP(B2771,STUDIES!$A$3:$A$1063,STUDIES!$G$3:$G$1063,"Not Found!")</f>
        <v>0</v>
      </c>
    </row>
    <row r="2772" spans="1:6" ht="18" customHeight="1" x14ac:dyDescent="0.35">
      <c r="A2772" s="274" t="e">
        <f>MATCH(B2772,STUDIES!$A$3:$A$502,0)</f>
        <v>#N/A</v>
      </c>
      <c r="F2772" s="155">
        <f>_xlfn.XLOOKUP(B2772,STUDIES!$A$3:$A$1063,STUDIES!$G$3:$G$1063,"Not Found!")</f>
        <v>0</v>
      </c>
    </row>
    <row r="2773" spans="1:6" ht="18" customHeight="1" x14ac:dyDescent="0.35">
      <c r="A2773" s="274" t="e">
        <f>MATCH(B2773,STUDIES!$A$3:$A$502,0)</f>
        <v>#N/A</v>
      </c>
      <c r="F2773" s="155">
        <f>_xlfn.XLOOKUP(B2773,STUDIES!$A$3:$A$1063,STUDIES!$G$3:$G$1063,"Not Found!")</f>
        <v>0</v>
      </c>
    </row>
    <row r="2774" spans="1:6" ht="18" customHeight="1" x14ac:dyDescent="0.35">
      <c r="A2774" s="274" t="e">
        <f>MATCH(B2774,STUDIES!$A$3:$A$502,0)</f>
        <v>#N/A</v>
      </c>
      <c r="F2774" s="155">
        <f>_xlfn.XLOOKUP(B2774,STUDIES!$A$3:$A$1063,STUDIES!$G$3:$G$1063,"Not Found!")</f>
        <v>0</v>
      </c>
    </row>
    <row r="2775" spans="1:6" ht="18" customHeight="1" x14ac:dyDescent="0.35">
      <c r="A2775" s="274" t="e">
        <f>MATCH(B2775,STUDIES!$A$3:$A$502,0)</f>
        <v>#N/A</v>
      </c>
      <c r="F2775" s="155">
        <f>_xlfn.XLOOKUP(B2775,STUDIES!$A$3:$A$1063,STUDIES!$G$3:$G$1063,"Not Found!")</f>
        <v>0</v>
      </c>
    </row>
    <row r="2776" spans="1:6" ht="18" customHeight="1" x14ac:dyDescent="0.35">
      <c r="A2776" s="274" t="e">
        <f>MATCH(B2776,STUDIES!$A$3:$A$502,0)</f>
        <v>#N/A</v>
      </c>
      <c r="F2776" s="155">
        <f>_xlfn.XLOOKUP(B2776,STUDIES!$A$3:$A$1063,STUDIES!$G$3:$G$1063,"Not Found!")</f>
        <v>0</v>
      </c>
    </row>
    <row r="2777" spans="1:6" ht="18" customHeight="1" x14ac:dyDescent="0.35">
      <c r="A2777" s="274" t="e">
        <f>MATCH(B2777,STUDIES!$A$3:$A$502,0)</f>
        <v>#N/A</v>
      </c>
      <c r="F2777" s="155">
        <f>_xlfn.XLOOKUP(B2777,STUDIES!$A$3:$A$1063,STUDIES!$G$3:$G$1063,"Not Found!")</f>
        <v>0</v>
      </c>
    </row>
    <row r="2778" spans="1:6" ht="18" customHeight="1" x14ac:dyDescent="0.35">
      <c r="A2778" s="274" t="e">
        <f>MATCH(B2778,STUDIES!$A$3:$A$502,0)</f>
        <v>#N/A</v>
      </c>
      <c r="F2778" s="155">
        <f>_xlfn.XLOOKUP(B2778,STUDIES!$A$3:$A$1063,STUDIES!$G$3:$G$1063,"Not Found!")</f>
        <v>0</v>
      </c>
    </row>
    <row r="2779" spans="1:6" ht="18" customHeight="1" x14ac:dyDescent="0.35">
      <c r="A2779" s="274" t="e">
        <f>MATCH(B2779,STUDIES!$A$3:$A$502,0)</f>
        <v>#N/A</v>
      </c>
      <c r="F2779" s="155">
        <f>_xlfn.XLOOKUP(B2779,STUDIES!$A$3:$A$1063,STUDIES!$G$3:$G$1063,"Not Found!")</f>
        <v>0</v>
      </c>
    </row>
    <row r="2780" spans="1:6" ht="18" customHeight="1" x14ac:dyDescent="0.35">
      <c r="A2780" s="274" t="e">
        <f>MATCH(B2780,STUDIES!$A$3:$A$502,0)</f>
        <v>#N/A</v>
      </c>
      <c r="F2780" s="155">
        <f>_xlfn.XLOOKUP(B2780,STUDIES!$A$3:$A$1063,STUDIES!$G$3:$G$1063,"Not Found!")</f>
        <v>0</v>
      </c>
    </row>
    <row r="2781" spans="1:6" ht="18" customHeight="1" x14ac:dyDescent="0.35">
      <c r="A2781" s="274" t="e">
        <f>MATCH(B2781,STUDIES!$A$3:$A$502,0)</f>
        <v>#N/A</v>
      </c>
      <c r="F2781" s="155">
        <f>_xlfn.XLOOKUP(B2781,STUDIES!$A$3:$A$1063,STUDIES!$G$3:$G$1063,"Not Found!")</f>
        <v>0</v>
      </c>
    </row>
    <row r="2782" spans="1:6" ht="18" customHeight="1" x14ac:dyDescent="0.35">
      <c r="A2782" s="274" t="e">
        <f>MATCH(B2782,STUDIES!$A$3:$A$502,0)</f>
        <v>#N/A</v>
      </c>
      <c r="F2782" s="155">
        <f>_xlfn.XLOOKUP(B2782,STUDIES!$A$3:$A$1063,STUDIES!$G$3:$G$1063,"Not Found!")</f>
        <v>0</v>
      </c>
    </row>
    <row r="2783" spans="1:6" ht="18" customHeight="1" x14ac:dyDescent="0.35">
      <c r="A2783" s="274" t="e">
        <f>MATCH(B2783,STUDIES!$A$3:$A$502,0)</f>
        <v>#N/A</v>
      </c>
      <c r="F2783" s="155">
        <f>_xlfn.XLOOKUP(B2783,STUDIES!$A$3:$A$1063,STUDIES!$G$3:$G$1063,"Not Found!")</f>
        <v>0</v>
      </c>
    </row>
    <row r="2784" spans="1:6" ht="18" customHeight="1" x14ac:dyDescent="0.35">
      <c r="A2784" s="274" t="e">
        <f>MATCH(B2784,STUDIES!$A$3:$A$502,0)</f>
        <v>#N/A</v>
      </c>
      <c r="F2784" s="155">
        <f>_xlfn.XLOOKUP(B2784,STUDIES!$A$3:$A$1063,STUDIES!$G$3:$G$1063,"Not Found!")</f>
        <v>0</v>
      </c>
    </row>
    <row r="2785" spans="1:6" ht="18" customHeight="1" x14ac:dyDescent="0.35">
      <c r="A2785" s="274" t="e">
        <f>MATCH(B2785,STUDIES!$A$3:$A$502,0)</f>
        <v>#N/A</v>
      </c>
      <c r="F2785" s="155">
        <f>_xlfn.XLOOKUP(B2785,STUDIES!$A$3:$A$1063,STUDIES!$G$3:$G$1063,"Not Found!")</f>
        <v>0</v>
      </c>
    </row>
    <row r="2786" spans="1:6" ht="18" customHeight="1" x14ac:dyDescent="0.35">
      <c r="A2786" s="274" t="e">
        <f>MATCH(B2786,STUDIES!$A$3:$A$502,0)</f>
        <v>#N/A</v>
      </c>
      <c r="F2786" s="155">
        <f>_xlfn.XLOOKUP(B2786,STUDIES!$A$3:$A$1063,STUDIES!$G$3:$G$1063,"Not Found!")</f>
        <v>0</v>
      </c>
    </row>
    <row r="2787" spans="1:6" ht="18" customHeight="1" x14ac:dyDescent="0.35">
      <c r="A2787" s="274" t="e">
        <f>MATCH(B2787,STUDIES!$A$3:$A$502,0)</f>
        <v>#N/A</v>
      </c>
      <c r="F2787" s="155">
        <f>_xlfn.XLOOKUP(B2787,STUDIES!$A$3:$A$1063,STUDIES!$G$3:$G$1063,"Not Found!")</f>
        <v>0</v>
      </c>
    </row>
    <row r="2788" spans="1:6" ht="18" customHeight="1" x14ac:dyDescent="0.35">
      <c r="A2788" s="274" t="e">
        <f>MATCH(B2788,STUDIES!$A$3:$A$502,0)</f>
        <v>#N/A</v>
      </c>
      <c r="F2788" s="155">
        <f>_xlfn.XLOOKUP(B2788,STUDIES!$A$3:$A$1063,STUDIES!$G$3:$G$1063,"Not Found!")</f>
        <v>0</v>
      </c>
    </row>
    <row r="2789" spans="1:6" ht="18" customHeight="1" x14ac:dyDescent="0.35">
      <c r="A2789" s="274" t="e">
        <f>MATCH(B2789,STUDIES!$A$3:$A$502,0)</f>
        <v>#N/A</v>
      </c>
      <c r="F2789" s="155">
        <f>_xlfn.XLOOKUP(B2789,STUDIES!$A$3:$A$1063,STUDIES!$G$3:$G$1063,"Not Found!")</f>
        <v>0</v>
      </c>
    </row>
    <row r="2790" spans="1:6" ht="18" customHeight="1" x14ac:dyDescent="0.35">
      <c r="A2790" s="274" t="e">
        <f>MATCH(B2790,STUDIES!$A$3:$A$502,0)</f>
        <v>#N/A</v>
      </c>
      <c r="F2790" s="155">
        <f>_xlfn.XLOOKUP(B2790,STUDIES!$A$3:$A$1063,STUDIES!$G$3:$G$1063,"Not Found!")</f>
        <v>0</v>
      </c>
    </row>
    <row r="2791" spans="1:6" ht="18" customHeight="1" x14ac:dyDescent="0.35">
      <c r="A2791" s="274" t="e">
        <f>MATCH(B2791,STUDIES!$A$3:$A$502,0)</f>
        <v>#N/A</v>
      </c>
      <c r="F2791" s="155">
        <f>_xlfn.XLOOKUP(B2791,STUDIES!$A$3:$A$1063,STUDIES!$G$3:$G$1063,"Not Found!")</f>
        <v>0</v>
      </c>
    </row>
    <row r="2792" spans="1:6" ht="18" customHeight="1" x14ac:dyDescent="0.35">
      <c r="A2792" s="274" t="e">
        <f>MATCH(B2792,STUDIES!$A$3:$A$502,0)</f>
        <v>#N/A</v>
      </c>
      <c r="F2792" s="155">
        <f>_xlfn.XLOOKUP(B2792,STUDIES!$A$3:$A$1063,STUDIES!$G$3:$G$1063,"Not Found!")</f>
        <v>0</v>
      </c>
    </row>
    <row r="2793" spans="1:6" ht="18" customHeight="1" x14ac:dyDescent="0.35">
      <c r="A2793" s="274" t="e">
        <f>MATCH(B2793,STUDIES!$A$3:$A$502,0)</f>
        <v>#N/A</v>
      </c>
      <c r="F2793" s="155">
        <f>_xlfn.XLOOKUP(B2793,STUDIES!$A$3:$A$1063,STUDIES!$G$3:$G$1063,"Not Found!")</f>
        <v>0</v>
      </c>
    </row>
    <row r="2794" spans="1:6" ht="18" customHeight="1" x14ac:dyDescent="0.35">
      <c r="A2794" s="274" t="e">
        <f>MATCH(B2794,STUDIES!$A$3:$A$502,0)</f>
        <v>#N/A</v>
      </c>
      <c r="F2794" s="155">
        <f>_xlfn.XLOOKUP(B2794,STUDIES!$A$3:$A$1063,STUDIES!$G$3:$G$1063,"Not Found!")</f>
        <v>0</v>
      </c>
    </row>
    <row r="2795" spans="1:6" ht="18" customHeight="1" x14ac:dyDescent="0.35">
      <c r="A2795" s="274" t="e">
        <f>MATCH(B2795,STUDIES!$A$3:$A$502,0)</f>
        <v>#N/A</v>
      </c>
      <c r="F2795" s="155">
        <f>_xlfn.XLOOKUP(B2795,STUDIES!$A$3:$A$1063,STUDIES!$G$3:$G$1063,"Not Found!")</f>
        <v>0</v>
      </c>
    </row>
    <row r="2796" spans="1:6" ht="18" customHeight="1" x14ac:dyDescent="0.35">
      <c r="A2796" s="274" t="e">
        <f>MATCH(B2796,STUDIES!$A$3:$A$502,0)</f>
        <v>#N/A</v>
      </c>
      <c r="F2796" s="155">
        <f>_xlfn.XLOOKUP(B2796,STUDIES!$A$3:$A$1063,STUDIES!$G$3:$G$1063,"Not Found!")</f>
        <v>0</v>
      </c>
    </row>
    <row r="2797" spans="1:6" ht="18" customHeight="1" x14ac:dyDescent="0.35">
      <c r="A2797" s="274" t="e">
        <f>MATCH(B2797,STUDIES!$A$3:$A$502,0)</f>
        <v>#N/A</v>
      </c>
      <c r="F2797" s="155">
        <f>_xlfn.XLOOKUP(B2797,STUDIES!$A$3:$A$1063,STUDIES!$G$3:$G$1063,"Not Found!")</f>
        <v>0</v>
      </c>
    </row>
    <row r="2798" spans="1:6" ht="18" customHeight="1" x14ac:dyDescent="0.35">
      <c r="A2798" s="274" t="e">
        <f>MATCH(B2798,STUDIES!$A$3:$A$502,0)</f>
        <v>#N/A</v>
      </c>
      <c r="F2798" s="155">
        <f>_xlfn.XLOOKUP(B2798,STUDIES!$A$3:$A$1063,STUDIES!$G$3:$G$1063,"Not Found!")</f>
        <v>0</v>
      </c>
    </row>
    <row r="2799" spans="1:6" ht="18" customHeight="1" x14ac:dyDescent="0.35">
      <c r="A2799" s="274" t="e">
        <f>MATCH(B2799,STUDIES!$A$3:$A$502,0)</f>
        <v>#N/A</v>
      </c>
      <c r="F2799" s="155">
        <f>_xlfn.XLOOKUP(B2799,STUDIES!$A$3:$A$1063,STUDIES!$G$3:$G$1063,"Not Found!")</f>
        <v>0</v>
      </c>
    </row>
    <row r="2800" spans="1:6" ht="18" customHeight="1" x14ac:dyDescent="0.35">
      <c r="A2800" s="274" t="e">
        <f>MATCH(B2800,STUDIES!$A$3:$A$502,0)</f>
        <v>#N/A</v>
      </c>
      <c r="F2800" s="155">
        <f>_xlfn.XLOOKUP(B2800,STUDIES!$A$3:$A$1063,STUDIES!$G$3:$G$1063,"Not Found!")</f>
        <v>0</v>
      </c>
    </row>
    <row r="2801" spans="1:6" ht="18" customHeight="1" x14ac:dyDescent="0.35">
      <c r="A2801" s="274" t="e">
        <f>MATCH(B2801,STUDIES!$A$3:$A$502,0)</f>
        <v>#N/A</v>
      </c>
      <c r="F2801" s="155">
        <f>_xlfn.XLOOKUP(B2801,STUDIES!$A$3:$A$1063,STUDIES!$G$3:$G$1063,"Not Found!")</f>
        <v>0</v>
      </c>
    </row>
    <row r="2802" spans="1:6" ht="18" customHeight="1" x14ac:dyDescent="0.35">
      <c r="A2802" s="274" t="e">
        <f>MATCH(B2802,STUDIES!$A$3:$A$502,0)</f>
        <v>#N/A</v>
      </c>
      <c r="F2802" s="155">
        <f>_xlfn.XLOOKUP(B2802,STUDIES!$A$3:$A$1063,STUDIES!$G$3:$G$1063,"Not Found!")</f>
        <v>0</v>
      </c>
    </row>
    <row r="2803" spans="1:6" ht="18" customHeight="1" x14ac:dyDescent="0.35">
      <c r="A2803" s="274" t="e">
        <f>MATCH(B2803,STUDIES!$A$3:$A$502,0)</f>
        <v>#N/A</v>
      </c>
      <c r="F2803" s="155">
        <f>_xlfn.XLOOKUP(B2803,STUDIES!$A$3:$A$1063,STUDIES!$G$3:$G$1063,"Not Found!")</f>
        <v>0</v>
      </c>
    </row>
    <row r="2804" spans="1:6" ht="18" customHeight="1" x14ac:dyDescent="0.35">
      <c r="A2804" s="274" t="e">
        <f>MATCH(B2804,STUDIES!$A$3:$A$502,0)</f>
        <v>#N/A</v>
      </c>
      <c r="F2804" s="155">
        <f>_xlfn.XLOOKUP(B2804,STUDIES!$A$3:$A$1063,STUDIES!$G$3:$G$1063,"Not Found!")</f>
        <v>0</v>
      </c>
    </row>
    <row r="2805" spans="1:6" ht="18" customHeight="1" x14ac:dyDescent="0.35">
      <c r="A2805" s="274" t="e">
        <f>MATCH(B2805,STUDIES!$A$3:$A$502,0)</f>
        <v>#N/A</v>
      </c>
      <c r="F2805" s="155">
        <f>_xlfn.XLOOKUP(B2805,STUDIES!$A$3:$A$1063,STUDIES!$G$3:$G$1063,"Not Found!")</f>
        <v>0</v>
      </c>
    </row>
    <row r="2806" spans="1:6" ht="18" customHeight="1" x14ac:dyDescent="0.35">
      <c r="A2806" s="274" t="e">
        <f>MATCH(B2806,STUDIES!$A$3:$A$502,0)</f>
        <v>#N/A</v>
      </c>
      <c r="F2806" s="155">
        <f>_xlfn.XLOOKUP(B2806,STUDIES!$A$3:$A$1063,STUDIES!$G$3:$G$1063,"Not Found!")</f>
        <v>0</v>
      </c>
    </row>
    <row r="2807" spans="1:6" ht="18" customHeight="1" x14ac:dyDescent="0.35">
      <c r="A2807" s="274" t="e">
        <f>MATCH(B2807,STUDIES!$A$3:$A$502,0)</f>
        <v>#N/A</v>
      </c>
      <c r="F2807" s="155">
        <f>_xlfn.XLOOKUP(B2807,STUDIES!$A$3:$A$1063,STUDIES!$G$3:$G$1063,"Not Found!")</f>
        <v>0</v>
      </c>
    </row>
    <row r="2808" spans="1:6" ht="18" customHeight="1" x14ac:dyDescent="0.35">
      <c r="A2808" s="274" t="e">
        <f>MATCH(B2808,STUDIES!$A$3:$A$502,0)</f>
        <v>#N/A</v>
      </c>
      <c r="F2808" s="155">
        <f>_xlfn.XLOOKUP(B2808,STUDIES!$A$3:$A$1063,STUDIES!$G$3:$G$1063,"Not Found!")</f>
        <v>0</v>
      </c>
    </row>
    <row r="2809" spans="1:6" ht="18" customHeight="1" x14ac:dyDescent="0.35">
      <c r="A2809" s="274" t="e">
        <f>MATCH(B2809,STUDIES!$A$3:$A$502,0)</f>
        <v>#N/A</v>
      </c>
      <c r="F2809" s="155">
        <f>_xlfn.XLOOKUP(B2809,STUDIES!$A$3:$A$1063,STUDIES!$G$3:$G$1063,"Not Found!")</f>
        <v>0</v>
      </c>
    </row>
    <row r="2810" spans="1:6" ht="18" customHeight="1" x14ac:dyDescent="0.35">
      <c r="A2810" s="274" t="e">
        <f>MATCH(B2810,STUDIES!$A$3:$A$502,0)</f>
        <v>#N/A</v>
      </c>
      <c r="F2810" s="155">
        <f>_xlfn.XLOOKUP(B2810,STUDIES!$A$3:$A$1063,STUDIES!$G$3:$G$1063,"Not Found!")</f>
        <v>0</v>
      </c>
    </row>
    <row r="2811" spans="1:6" ht="18" customHeight="1" x14ac:dyDescent="0.35">
      <c r="A2811" s="274" t="e">
        <f>MATCH(B2811,STUDIES!$A$3:$A$502,0)</f>
        <v>#N/A</v>
      </c>
      <c r="F2811" s="155">
        <f>_xlfn.XLOOKUP(B2811,STUDIES!$A$3:$A$1063,STUDIES!$G$3:$G$1063,"Not Found!")</f>
        <v>0</v>
      </c>
    </row>
    <row r="2812" spans="1:6" ht="18" customHeight="1" x14ac:dyDescent="0.35">
      <c r="A2812" s="274" t="e">
        <f>MATCH(B2812,STUDIES!$A$3:$A$502,0)</f>
        <v>#N/A</v>
      </c>
      <c r="F2812" s="155">
        <f>_xlfn.XLOOKUP(B2812,STUDIES!$A$3:$A$1063,STUDIES!$G$3:$G$1063,"Not Found!")</f>
        <v>0</v>
      </c>
    </row>
    <row r="2813" spans="1:6" ht="18" customHeight="1" x14ac:dyDescent="0.35">
      <c r="A2813" s="274" t="e">
        <f>MATCH(B2813,STUDIES!$A$3:$A$502,0)</f>
        <v>#N/A</v>
      </c>
      <c r="F2813" s="155">
        <f>_xlfn.XLOOKUP(B2813,STUDIES!$A$3:$A$1063,STUDIES!$G$3:$G$1063,"Not Found!")</f>
        <v>0</v>
      </c>
    </row>
    <row r="2814" spans="1:6" ht="18" customHeight="1" x14ac:dyDescent="0.35">
      <c r="A2814" s="274" t="e">
        <f>MATCH(B2814,STUDIES!$A$3:$A$502,0)</f>
        <v>#N/A</v>
      </c>
      <c r="F2814" s="155">
        <f>_xlfn.XLOOKUP(B2814,STUDIES!$A$3:$A$1063,STUDIES!$G$3:$G$1063,"Not Found!")</f>
        <v>0</v>
      </c>
    </row>
    <row r="2815" spans="1:6" ht="18" customHeight="1" x14ac:dyDescent="0.35">
      <c r="A2815" s="274" t="e">
        <f>MATCH(B2815,STUDIES!$A$3:$A$502,0)</f>
        <v>#N/A</v>
      </c>
      <c r="F2815" s="155">
        <f>_xlfn.XLOOKUP(B2815,STUDIES!$A$3:$A$1063,STUDIES!$G$3:$G$1063,"Not Found!")</f>
        <v>0</v>
      </c>
    </row>
    <row r="2816" spans="1:6" ht="18" customHeight="1" x14ac:dyDescent="0.35">
      <c r="A2816" s="274" t="e">
        <f>MATCH(B2816,STUDIES!$A$3:$A$502,0)</f>
        <v>#N/A</v>
      </c>
      <c r="F2816" s="155">
        <f>_xlfn.XLOOKUP(B2816,STUDIES!$A$3:$A$1063,STUDIES!$G$3:$G$1063,"Not Found!")</f>
        <v>0</v>
      </c>
    </row>
    <row r="2817" spans="1:6" ht="18" customHeight="1" x14ac:dyDescent="0.35">
      <c r="A2817" s="274" t="e">
        <f>MATCH(B2817,STUDIES!$A$3:$A$502,0)</f>
        <v>#N/A</v>
      </c>
      <c r="F2817" s="155">
        <f>_xlfn.XLOOKUP(B2817,STUDIES!$A$3:$A$1063,STUDIES!$G$3:$G$1063,"Not Found!")</f>
        <v>0</v>
      </c>
    </row>
    <row r="2818" spans="1:6" ht="18" customHeight="1" x14ac:dyDescent="0.35">
      <c r="A2818" s="274" t="e">
        <f>MATCH(B2818,STUDIES!$A$3:$A$502,0)</f>
        <v>#N/A</v>
      </c>
      <c r="F2818" s="155">
        <f>_xlfn.XLOOKUP(B2818,STUDIES!$A$3:$A$1063,STUDIES!$G$3:$G$1063,"Not Found!")</f>
        <v>0</v>
      </c>
    </row>
    <row r="2819" spans="1:6" ht="18" customHeight="1" x14ac:dyDescent="0.35">
      <c r="A2819" s="274" t="e">
        <f>MATCH(B2819,STUDIES!$A$3:$A$502,0)</f>
        <v>#N/A</v>
      </c>
      <c r="F2819" s="155">
        <f>_xlfn.XLOOKUP(B2819,STUDIES!$A$3:$A$1063,STUDIES!$G$3:$G$1063,"Not Found!")</f>
        <v>0</v>
      </c>
    </row>
    <row r="2820" spans="1:6" ht="18" customHeight="1" x14ac:dyDescent="0.35">
      <c r="A2820" s="274" t="e">
        <f>MATCH(B2820,STUDIES!$A$3:$A$502,0)</f>
        <v>#N/A</v>
      </c>
      <c r="F2820" s="155">
        <f>_xlfn.XLOOKUP(B2820,STUDIES!$A$3:$A$1063,STUDIES!$G$3:$G$1063,"Not Found!")</f>
        <v>0</v>
      </c>
    </row>
    <row r="2821" spans="1:6" ht="18" customHeight="1" x14ac:dyDescent="0.35">
      <c r="A2821" s="274" t="e">
        <f>MATCH(B2821,STUDIES!$A$3:$A$502,0)</f>
        <v>#N/A</v>
      </c>
      <c r="F2821" s="155">
        <f>_xlfn.XLOOKUP(B2821,STUDIES!$A$3:$A$1063,STUDIES!$G$3:$G$1063,"Not Found!")</f>
        <v>0</v>
      </c>
    </row>
    <row r="2822" spans="1:6" ht="18" customHeight="1" x14ac:dyDescent="0.35">
      <c r="A2822" s="274" t="e">
        <f>MATCH(B2822,STUDIES!$A$3:$A$502,0)</f>
        <v>#N/A</v>
      </c>
      <c r="F2822" s="155">
        <f>_xlfn.XLOOKUP(B2822,STUDIES!$A$3:$A$1063,STUDIES!$G$3:$G$1063,"Not Found!")</f>
        <v>0</v>
      </c>
    </row>
    <row r="2823" spans="1:6" ht="18" customHeight="1" x14ac:dyDescent="0.35">
      <c r="A2823" s="274" t="e">
        <f>MATCH(B2823,STUDIES!$A$3:$A$502,0)</f>
        <v>#N/A</v>
      </c>
      <c r="F2823" s="155">
        <f>_xlfn.XLOOKUP(B2823,STUDIES!$A$3:$A$1063,STUDIES!$G$3:$G$1063,"Not Found!")</f>
        <v>0</v>
      </c>
    </row>
    <row r="2824" spans="1:6" ht="18" customHeight="1" x14ac:dyDescent="0.35">
      <c r="A2824" s="274" t="e">
        <f>MATCH(B2824,STUDIES!$A$3:$A$502,0)</f>
        <v>#N/A</v>
      </c>
      <c r="F2824" s="155">
        <f>_xlfn.XLOOKUP(B2824,STUDIES!$A$3:$A$1063,STUDIES!$G$3:$G$1063,"Not Found!")</f>
        <v>0</v>
      </c>
    </row>
    <row r="2825" spans="1:6" ht="18" customHeight="1" x14ac:dyDescent="0.35">
      <c r="A2825" s="274" t="e">
        <f>MATCH(B2825,STUDIES!$A$3:$A$502,0)</f>
        <v>#N/A</v>
      </c>
      <c r="F2825" s="155">
        <f>_xlfn.XLOOKUP(B2825,STUDIES!$A$3:$A$1063,STUDIES!$G$3:$G$1063,"Not Found!")</f>
        <v>0</v>
      </c>
    </row>
    <row r="2826" spans="1:6" ht="18" customHeight="1" x14ac:dyDescent="0.35">
      <c r="A2826" s="274" t="e">
        <f>MATCH(B2826,STUDIES!$A$3:$A$502,0)</f>
        <v>#N/A</v>
      </c>
      <c r="F2826" s="155">
        <f>_xlfn.XLOOKUP(B2826,STUDIES!$A$3:$A$1063,STUDIES!$G$3:$G$1063,"Not Found!")</f>
        <v>0</v>
      </c>
    </row>
    <row r="2827" spans="1:6" ht="18" customHeight="1" x14ac:dyDescent="0.35">
      <c r="A2827" s="274" t="e">
        <f>MATCH(B2827,STUDIES!$A$3:$A$502,0)</f>
        <v>#N/A</v>
      </c>
      <c r="F2827" s="155">
        <f>_xlfn.XLOOKUP(B2827,STUDIES!$A$3:$A$1063,STUDIES!$G$3:$G$1063,"Not Found!")</f>
        <v>0</v>
      </c>
    </row>
    <row r="2828" spans="1:6" ht="18" customHeight="1" x14ac:dyDescent="0.35">
      <c r="A2828" s="274" t="e">
        <f>MATCH(B2828,STUDIES!$A$3:$A$502,0)</f>
        <v>#N/A</v>
      </c>
      <c r="F2828" s="155">
        <f>_xlfn.XLOOKUP(B2828,STUDIES!$A$3:$A$1063,STUDIES!$G$3:$G$1063,"Not Found!")</f>
        <v>0</v>
      </c>
    </row>
    <row r="2829" spans="1:6" ht="18" customHeight="1" x14ac:dyDescent="0.35">
      <c r="A2829" s="274" t="e">
        <f>MATCH(B2829,STUDIES!$A$3:$A$502,0)</f>
        <v>#N/A</v>
      </c>
      <c r="F2829" s="155">
        <f>_xlfn.XLOOKUP(B2829,STUDIES!$A$3:$A$1063,STUDIES!$G$3:$G$1063,"Not Found!")</f>
        <v>0</v>
      </c>
    </row>
    <row r="2830" spans="1:6" ht="18" customHeight="1" x14ac:dyDescent="0.35">
      <c r="A2830" s="274" t="e">
        <f>MATCH(B2830,STUDIES!$A$3:$A$502,0)</f>
        <v>#N/A</v>
      </c>
      <c r="F2830" s="155">
        <f>_xlfn.XLOOKUP(B2830,STUDIES!$A$3:$A$1063,STUDIES!$G$3:$G$1063,"Not Found!")</f>
        <v>0</v>
      </c>
    </row>
    <row r="2831" spans="1:6" ht="18" customHeight="1" x14ac:dyDescent="0.35">
      <c r="A2831" s="274" t="e">
        <f>MATCH(B2831,STUDIES!$A$3:$A$502,0)</f>
        <v>#N/A</v>
      </c>
      <c r="F2831" s="155">
        <f>_xlfn.XLOOKUP(B2831,STUDIES!$A$3:$A$1063,STUDIES!$G$3:$G$1063,"Not Found!")</f>
        <v>0</v>
      </c>
    </row>
    <row r="2832" spans="1:6" ht="18" customHeight="1" x14ac:dyDescent="0.35">
      <c r="A2832" s="274" t="e">
        <f>MATCH(B2832,STUDIES!$A$3:$A$502,0)</f>
        <v>#N/A</v>
      </c>
      <c r="F2832" s="155">
        <f>_xlfn.XLOOKUP(B2832,STUDIES!$A$3:$A$1063,STUDIES!$G$3:$G$1063,"Not Found!")</f>
        <v>0</v>
      </c>
    </row>
    <row r="2833" spans="1:6" ht="18" customHeight="1" x14ac:dyDescent="0.35">
      <c r="A2833" s="274" t="e">
        <f>MATCH(B2833,STUDIES!$A$3:$A$502,0)</f>
        <v>#N/A</v>
      </c>
      <c r="F2833" s="155">
        <f>_xlfn.XLOOKUP(B2833,STUDIES!$A$3:$A$1063,STUDIES!$G$3:$G$1063,"Not Found!")</f>
        <v>0</v>
      </c>
    </row>
    <row r="2834" spans="1:6" ht="18" customHeight="1" x14ac:dyDescent="0.35">
      <c r="A2834" s="274" t="e">
        <f>MATCH(B2834,STUDIES!$A$3:$A$502,0)</f>
        <v>#N/A</v>
      </c>
      <c r="F2834" s="155">
        <f>_xlfn.XLOOKUP(B2834,STUDIES!$A$3:$A$1063,STUDIES!$G$3:$G$1063,"Not Found!")</f>
        <v>0</v>
      </c>
    </row>
    <row r="2835" spans="1:6" ht="18" customHeight="1" x14ac:dyDescent="0.35">
      <c r="A2835" s="274" t="e">
        <f>MATCH(B2835,STUDIES!$A$3:$A$502,0)</f>
        <v>#N/A</v>
      </c>
      <c r="F2835" s="155">
        <f>_xlfn.XLOOKUP(B2835,STUDIES!$A$3:$A$1063,STUDIES!$G$3:$G$1063,"Not Found!")</f>
        <v>0</v>
      </c>
    </row>
    <row r="2836" spans="1:6" ht="18" customHeight="1" x14ac:dyDescent="0.35">
      <c r="A2836" s="274" t="e">
        <f>MATCH(B2836,STUDIES!$A$3:$A$502,0)</f>
        <v>#N/A</v>
      </c>
      <c r="F2836" s="155">
        <f>_xlfn.XLOOKUP(B2836,STUDIES!$A$3:$A$1063,STUDIES!$G$3:$G$1063,"Not Found!")</f>
        <v>0</v>
      </c>
    </row>
    <row r="2837" spans="1:6" ht="18" customHeight="1" x14ac:dyDescent="0.35">
      <c r="A2837" s="274" t="e">
        <f>MATCH(B2837,STUDIES!$A$3:$A$502,0)</f>
        <v>#N/A</v>
      </c>
      <c r="F2837" s="155">
        <f>_xlfn.XLOOKUP(B2837,STUDIES!$A$3:$A$1063,STUDIES!$G$3:$G$1063,"Not Found!")</f>
        <v>0</v>
      </c>
    </row>
    <row r="2838" spans="1:6" ht="18" customHeight="1" x14ac:dyDescent="0.35">
      <c r="A2838" s="274" t="e">
        <f>MATCH(B2838,STUDIES!$A$3:$A$502,0)</f>
        <v>#N/A</v>
      </c>
      <c r="F2838" s="155">
        <f>_xlfn.XLOOKUP(B2838,STUDIES!$A$3:$A$1063,STUDIES!$G$3:$G$1063,"Not Found!")</f>
        <v>0</v>
      </c>
    </row>
    <row r="2839" spans="1:6" ht="18" customHeight="1" x14ac:dyDescent="0.35">
      <c r="A2839" s="274" t="e">
        <f>MATCH(B2839,STUDIES!$A$3:$A$502,0)</f>
        <v>#N/A</v>
      </c>
      <c r="F2839" s="155">
        <f>_xlfn.XLOOKUP(B2839,STUDIES!$A$3:$A$1063,STUDIES!$G$3:$G$1063,"Not Found!")</f>
        <v>0</v>
      </c>
    </row>
    <row r="2840" spans="1:6" ht="18" customHeight="1" x14ac:dyDescent="0.35">
      <c r="A2840" s="274" t="e">
        <f>MATCH(B2840,STUDIES!$A$3:$A$502,0)</f>
        <v>#N/A</v>
      </c>
      <c r="F2840" s="155">
        <f>_xlfn.XLOOKUP(B2840,STUDIES!$A$3:$A$1063,STUDIES!$G$3:$G$1063,"Not Found!")</f>
        <v>0</v>
      </c>
    </row>
    <row r="2841" spans="1:6" ht="18" customHeight="1" x14ac:dyDescent="0.35">
      <c r="A2841" s="274" t="e">
        <f>MATCH(B2841,STUDIES!$A$3:$A$502,0)</f>
        <v>#N/A</v>
      </c>
      <c r="F2841" s="155">
        <f>_xlfn.XLOOKUP(B2841,STUDIES!$A$3:$A$1063,STUDIES!$G$3:$G$1063,"Not Found!")</f>
        <v>0</v>
      </c>
    </row>
    <row r="2842" spans="1:6" ht="18" customHeight="1" x14ac:dyDescent="0.35">
      <c r="A2842" s="274" t="e">
        <f>MATCH(B2842,STUDIES!$A$3:$A$502,0)</f>
        <v>#N/A</v>
      </c>
      <c r="F2842" s="155">
        <f>_xlfn.XLOOKUP(B2842,STUDIES!$A$3:$A$1063,STUDIES!$G$3:$G$1063,"Not Found!")</f>
        <v>0</v>
      </c>
    </row>
    <row r="2843" spans="1:6" ht="18" customHeight="1" x14ac:dyDescent="0.35">
      <c r="A2843" s="274" t="e">
        <f>MATCH(B2843,STUDIES!$A$3:$A$502,0)</f>
        <v>#N/A</v>
      </c>
      <c r="F2843" s="155">
        <f>_xlfn.XLOOKUP(B2843,STUDIES!$A$3:$A$1063,STUDIES!$G$3:$G$1063,"Not Found!")</f>
        <v>0</v>
      </c>
    </row>
    <row r="2844" spans="1:6" ht="18" customHeight="1" x14ac:dyDescent="0.35">
      <c r="A2844" s="274" t="e">
        <f>MATCH(B2844,STUDIES!$A$3:$A$502,0)</f>
        <v>#N/A</v>
      </c>
      <c r="F2844" s="155">
        <f>_xlfn.XLOOKUP(B2844,STUDIES!$A$3:$A$1063,STUDIES!$G$3:$G$1063,"Not Found!")</f>
        <v>0</v>
      </c>
    </row>
    <row r="2845" spans="1:6" ht="18" customHeight="1" x14ac:dyDescent="0.35">
      <c r="A2845" s="274" t="e">
        <f>MATCH(B2845,STUDIES!$A$3:$A$502,0)</f>
        <v>#N/A</v>
      </c>
      <c r="F2845" s="155">
        <f>_xlfn.XLOOKUP(B2845,STUDIES!$A$3:$A$1063,STUDIES!$G$3:$G$1063,"Not Found!")</f>
        <v>0</v>
      </c>
    </row>
    <row r="2846" spans="1:6" ht="18" customHeight="1" x14ac:dyDescent="0.35">
      <c r="A2846" s="274" t="e">
        <f>MATCH(B2846,STUDIES!$A$3:$A$502,0)</f>
        <v>#N/A</v>
      </c>
      <c r="F2846" s="155">
        <f>_xlfn.XLOOKUP(B2846,STUDIES!$A$3:$A$1063,STUDIES!$G$3:$G$1063,"Not Found!")</f>
        <v>0</v>
      </c>
    </row>
    <row r="2847" spans="1:6" ht="18" customHeight="1" x14ac:dyDescent="0.35">
      <c r="A2847" s="274" t="e">
        <f>MATCH(B2847,STUDIES!$A$3:$A$502,0)</f>
        <v>#N/A</v>
      </c>
      <c r="F2847" s="155">
        <f>_xlfn.XLOOKUP(B2847,STUDIES!$A$3:$A$1063,STUDIES!$G$3:$G$1063,"Not Found!")</f>
        <v>0</v>
      </c>
    </row>
    <row r="2848" spans="1:6" ht="18" customHeight="1" x14ac:dyDescent="0.35">
      <c r="A2848" s="274" t="e">
        <f>MATCH(B2848,STUDIES!$A$3:$A$502,0)</f>
        <v>#N/A</v>
      </c>
      <c r="F2848" s="155">
        <f>_xlfn.XLOOKUP(B2848,STUDIES!$A$3:$A$1063,STUDIES!$G$3:$G$1063,"Not Found!")</f>
        <v>0</v>
      </c>
    </row>
    <row r="2849" spans="1:6" ht="18" customHeight="1" x14ac:dyDescent="0.35">
      <c r="A2849" s="274" t="e">
        <f>MATCH(B2849,STUDIES!$A$3:$A$502,0)</f>
        <v>#N/A</v>
      </c>
      <c r="F2849" s="155">
        <f>_xlfn.XLOOKUP(B2849,STUDIES!$A$3:$A$1063,STUDIES!$G$3:$G$1063,"Not Found!")</f>
        <v>0</v>
      </c>
    </row>
    <row r="2850" spans="1:6" ht="18" customHeight="1" x14ac:dyDescent="0.35">
      <c r="A2850" s="274" t="e">
        <f>MATCH(B2850,STUDIES!$A$3:$A$502,0)</f>
        <v>#N/A</v>
      </c>
      <c r="F2850" s="155">
        <f>_xlfn.XLOOKUP(B2850,STUDIES!$A$3:$A$1063,STUDIES!$G$3:$G$1063,"Not Found!")</f>
        <v>0</v>
      </c>
    </row>
    <row r="2851" spans="1:6" ht="18" customHeight="1" x14ac:dyDescent="0.35">
      <c r="A2851" s="274" t="e">
        <f>MATCH(B2851,STUDIES!$A$3:$A$502,0)</f>
        <v>#N/A</v>
      </c>
      <c r="F2851" s="155">
        <f>_xlfn.XLOOKUP(B2851,STUDIES!$A$3:$A$1063,STUDIES!$G$3:$G$1063,"Not Found!")</f>
        <v>0</v>
      </c>
    </row>
    <row r="2852" spans="1:6" ht="18" customHeight="1" x14ac:dyDescent="0.35">
      <c r="A2852" s="274" t="e">
        <f>MATCH(B2852,STUDIES!$A$3:$A$502,0)</f>
        <v>#N/A</v>
      </c>
      <c r="F2852" s="155">
        <f>_xlfn.XLOOKUP(B2852,STUDIES!$A$3:$A$1063,STUDIES!$G$3:$G$1063,"Not Found!")</f>
        <v>0</v>
      </c>
    </row>
    <row r="2853" spans="1:6" ht="18" customHeight="1" x14ac:dyDescent="0.35">
      <c r="A2853" s="274" t="e">
        <f>MATCH(B2853,STUDIES!$A$3:$A$502,0)</f>
        <v>#N/A</v>
      </c>
      <c r="F2853" s="155">
        <f>_xlfn.XLOOKUP(B2853,STUDIES!$A$3:$A$1063,STUDIES!$G$3:$G$1063,"Not Found!")</f>
        <v>0</v>
      </c>
    </row>
    <row r="2854" spans="1:6" ht="18" customHeight="1" x14ac:dyDescent="0.35">
      <c r="A2854" s="274" t="e">
        <f>MATCH(B2854,STUDIES!$A$3:$A$502,0)</f>
        <v>#N/A</v>
      </c>
      <c r="F2854" s="155">
        <f>_xlfn.XLOOKUP(B2854,STUDIES!$A$3:$A$1063,STUDIES!$G$3:$G$1063,"Not Found!")</f>
        <v>0</v>
      </c>
    </row>
    <row r="2855" spans="1:6" ht="18" customHeight="1" x14ac:dyDescent="0.35">
      <c r="A2855" s="274" t="e">
        <f>MATCH(B2855,STUDIES!$A$3:$A$502,0)</f>
        <v>#N/A</v>
      </c>
      <c r="F2855" s="155">
        <f>_xlfn.XLOOKUP(B2855,STUDIES!$A$3:$A$1063,STUDIES!$G$3:$G$1063,"Not Found!")</f>
        <v>0</v>
      </c>
    </row>
    <row r="2856" spans="1:6" ht="18" customHeight="1" x14ac:dyDescent="0.35">
      <c r="A2856" s="274" t="e">
        <f>MATCH(B2856,STUDIES!$A$3:$A$502,0)</f>
        <v>#N/A</v>
      </c>
      <c r="F2856" s="155">
        <f>_xlfn.XLOOKUP(B2856,STUDIES!$A$3:$A$1063,STUDIES!$G$3:$G$1063,"Not Found!")</f>
        <v>0</v>
      </c>
    </row>
    <row r="2857" spans="1:6" ht="18" customHeight="1" x14ac:dyDescent="0.35">
      <c r="A2857" s="274" t="e">
        <f>MATCH(B2857,STUDIES!$A$3:$A$502,0)</f>
        <v>#N/A</v>
      </c>
      <c r="F2857" s="155">
        <f>_xlfn.XLOOKUP(B2857,STUDIES!$A$3:$A$1063,STUDIES!$G$3:$G$1063,"Not Found!")</f>
        <v>0</v>
      </c>
    </row>
    <row r="2858" spans="1:6" ht="18" customHeight="1" x14ac:dyDescent="0.35">
      <c r="A2858" s="274" t="e">
        <f>MATCH(B2858,STUDIES!$A$3:$A$502,0)</f>
        <v>#N/A</v>
      </c>
      <c r="F2858" s="155">
        <f>_xlfn.XLOOKUP(B2858,STUDIES!$A$3:$A$1063,STUDIES!$G$3:$G$1063,"Not Found!")</f>
        <v>0</v>
      </c>
    </row>
    <row r="2859" spans="1:6" ht="18" customHeight="1" x14ac:dyDescent="0.35">
      <c r="A2859" s="274" t="e">
        <f>MATCH(B2859,STUDIES!$A$3:$A$502,0)</f>
        <v>#N/A</v>
      </c>
      <c r="F2859" s="155">
        <f>_xlfn.XLOOKUP(B2859,STUDIES!$A$3:$A$1063,STUDIES!$G$3:$G$1063,"Not Found!")</f>
        <v>0</v>
      </c>
    </row>
    <row r="2860" spans="1:6" ht="18" customHeight="1" x14ac:dyDescent="0.35">
      <c r="A2860" s="274" t="e">
        <f>MATCH(B2860,STUDIES!$A$3:$A$502,0)</f>
        <v>#N/A</v>
      </c>
      <c r="F2860" s="155">
        <f>_xlfn.XLOOKUP(B2860,STUDIES!$A$3:$A$1063,STUDIES!$G$3:$G$1063,"Not Found!")</f>
        <v>0</v>
      </c>
    </row>
    <row r="2861" spans="1:6" ht="18" customHeight="1" x14ac:dyDescent="0.35">
      <c r="A2861" s="274" t="e">
        <f>MATCH(B2861,STUDIES!$A$3:$A$502,0)</f>
        <v>#N/A</v>
      </c>
      <c r="F2861" s="155">
        <f>_xlfn.XLOOKUP(B2861,STUDIES!$A$3:$A$1063,STUDIES!$G$3:$G$1063,"Not Found!")</f>
        <v>0</v>
      </c>
    </row>
    <row r="2862" spans="1:6" ht="18" customHeight="1" x14ac:dyDescent="0.35">
      <c r="A2862" s="274" t="e">
        <f>MATCH(B2862,STUDIES!$A$3:$A$502,0)</f>
        <v>#N/A</v>
      </c>
      <c r="F2862" s="155">
        <f>_xlfn.XLOOKUP(B2862,STUDIES!$A$3:$A$1063,STUDIES!$G$3:$G$1063,"Not Found!")</f>
        <v>0</v>
      </c>
    </row>
    <row r="2863" spans="1:6" ht="18" customHeight="1" x14ac:dyDescent="0.35">
      <c r="A2863" s="274" t="e">
        <f>MATCH(B2863,STUDIES!$A$3:$A$502,0)</f>
        <v>#N/A</v>
      </c>
      <c r="F2863" s="155">
        <f>_xlfn.XLOOKUP(B2863,STUDIES!$A$3:$A$1063,STUDIES!$G$3:$G$1063,"Not Found!")</f>
        <v>0</v>
      </c>
    </row>
    <row r="2864" spans="1:6" ht="18" customHeight="1" x14ac:dyDescent="0.35">
      <c r="A2864" s="274" t="e">
        <f>MATCH(B2864,STUDIES!$A$3:$A$502,0)</f>
        <v>#N/A</v>
      </c>
      <c r="F2864" s="155">
        <f>_xlfn.XLOOKUP(B2864,STUDIES!$A$3:$A$1063,STUDIES!$G$3:$G$1063,"Not Found!")</f>
        <v>0</v>
      </c>
    </row>
    <row r="2865" spans="1:6" ht="18" customHeight="1" x14ac:dyDescent="0.35">
      <c r="A2865" s="274" t="e">
        <f>MATCH(B2865,STUDIES!$A$3:$A$502,0)</f>
        <v>#N/A</v>
      </c>
      <c r="F2865" s="155">
        <f>_xlfn.XLOOKUP(B2865,STUDIES!$A$3:$A$1063,STUDIES!$G$3:$G$1063,"Not Found!")</f>
        <v>0</v>
      </c>
    </row>
    <row r="2866" spans="1:6" ht="18" customHeight="1" x14ac:dyDescent="0.35">
      <c r="A2866" s="274" t="e">
        <f>MATCH(B2866,STUDIES!$A$3:$A$502,0)</f>
        <v>#N/A</v>
      </c>
      <c r="F2866" s="155">
        <f>_xlfn.XLOOKUP(B2866,STUDIES!$A$3:$A$1063,STUDIES!$G$3:$G$1063,"Not Found!")</f>
        <v>0</v>
      </c>
    </row>
    <row r="2867" spans="1:6" ht="18" customHeight="1" x14ac:dyDescent="0.35">
      <c r="A2867" s="274" t="e">
        <f>MATCH(B2867,STUDIES!$A$3:$A$502,0)</f>
        <v>#N/A</v>
      </c>
      <c r="F2867" s="155">
        <f>_xlfn.XLOOKUP(B2867,STUDIES!$A$3:$A$1063,STUDIES!$G$3:$G$1063,"Not Found!")</f>
        <v>0</v>
      </c>
    </row>
    <row r="2868" spans="1:6" ht="18" customHeight="1" x14ac:dyDescent="0.35">
      <c r="A2868" s="274" t="e">
        <f>MATCH(B2868,STUDIES!$A$3:$A$502,0)</f>
        <v>#N/A</v>
      </c>
      <c r="F2868" s="155">
        <f>_xlfn.XLOOKUP(B2868,STUDIES!$A$3:$A$1063,STUDIES!$G$3:$G$1063,"Not Found!")</f>
        <v>0</v>
      </c>
    </row>
    <row r="2869" spans="1:6" ht="18" customHeight="1" x14ac:dyDescent="0.35">
      <c r="A2869" s="274" t="e">
        <f>MATCH(B2869,STUDIES!$A$3:$A$502,0)</f>
        <v>#N/A</v>
      </c>
      <c r="F2869" s="155">
        <f>_xlfn.XLOOKUP(B2869,STUDIES!$A$3:$A$1063,STUDIES!$G$3:$G$1063,"Not Found!")</f>
        <v>0</v>
      </c>
    </row>
    <row r="2870" spans="1:6" ht="18" customHeight="1" x14ac:dyDescent="0.35">
      <c r="A2870" s="274" t="e">
        <f>MATCH(B2870,STUDIES!$A$3:$A$502,0)</f>
        <v>#N/A</v>
      </c>
      <c r="F2870" s="155">
        <f>_xlfn.XLOOKUP(B2870,STUDIES!$A$3:$A$1063,STUDIES!$G$3:$G$1063,"Not Found!")</f>
        <v>0</v>
      </c>
    </row>
    <row r="2871" spans="1:6" ht="18" customHeight="1" x14ac:dyDescent="0.35">
      <c r="A2871" s="274" t="e">
        <f>MATCH(B2871,STUDIES!$A$3:$A$502,0)</f>
        <v>#N/A</v>
      </c>
      <c r="F2871" s="155">
        <f>_xlfn.XLOOKUP(B2871,STUDIES!$A$3:$A$1063,STUDIES!$G$3:$G$1063,"Not Found!")</f>
        <v>0</v>
      </c>
    </row>
    <row r="2872" spans="1:6" ht="18" customHeight="1" x14ac:dyDescent="0.35">
      <c r="A2872" s="274" t="e">
        <f>MATCH(B2872,STUDIES!$A$3:$A$502,0)</f>
        <v>#N/A</v>
      </c>
      <c r="F2872" s="155">
        <f>_xlfn.XLOOKUP(B2872,STUDIES!$A$3:$A$1063,STUDIES!$G$3:$G$1063,"Not Found!")</f>
        <v>0</v>
      </c>
    </row>
    <row r="2873" spans="1:6" ht="18" customHeight="1" x14ac:dyDescent="0.35">
      <c r="A2873" s="274" t="e">
        <f>MATCH(B2873,STUDIES!$A$3:$A$502,0)</f>
        <v>#N/A</v>
      </c>
      <c r="F2873" s="155">
        <f>_xlfn.XLOOKUP(B2873,STUDIES!$A$3:$A$1063,STUDIES!$G$3:$G$1063,"Not Found!")</f>
        <v>0</v>
      </c>
    </row>
    <row r="2874" spans="1:6" ht="18" customHeight="1" x14ac:dyDescent="0.35">
      <c r="A2874" s="274" t="e">
        <f>MATCH(B2874,STUDIES!$A$3:$A$502,0)</f>
        <v>#N/A</v>
      </c>
      <c r="F2874" s="155">
        <f>_xlfn.XLOOKUP(B2874,STUDIES!$A$3:$A$1063,STUDIES!$G$3:$G$1063,"Not Found!")</f>
        <v>0</v>
      </c>
    </row>
    <row r="2875" spans="1:6" ht="18" customHeight="1" x14ac:dyDescent="0.35">
      <c r="A2875" s="274" t="e">
        <f>MATCH(B2875,STUDIES!$A$3:$A$502,0)</f>
        <v>#N/A</v>
      </c>
      <c r="F2875" s="155">
        <f>_xlfn.XLOOKUP(B2875,STUDIES!$A$3:$A$1063,STUDIES!$G$3:$G$1063,"Not Found!")</f>
        <v>0</v>
      </c>
    </row>
    <row r="2876" spans="1:6" ht="18" customHeight="1" x14ac:dyDescent="0.35">
      <c r="A2876" s="274" t="e">
        <f>MATCH(B2876,STUDIES!$A$3:$A$502,0)</f>
        <v>#N/A</v>
      </c>
      <c r="F2876" s="155">
        <f>_xlfn.XLOOKUP(B2876,STUDIES!$A$3:$A$1063,STUDIES!$G$3:$G$1063,"Not Found!")</f>
        <v>0</v>
      </c>
    </row>
    <row r="2877" spans="1:6" ht="18" customHeight="1" x14ac:dyDescent="0.35">
      <c r="A2877" s="274" t="e">
        <f>MATCH(B2877,STUDIES!$A$3:$A$502,0)</f>
        <v>#N/A</v>
      </c>
      <c r="F2877" s="155">
        <f>_xlfn.XLOOKUP(B2877,STUDIES!$A$3:$A$1063,STUDIES!$G$3:$G$1063,"Not Found!")</f>
        <v>0</v>
      </c>
    </row>
    <row r="2878" spans="1:6" ht="18" customHeight="1" x14ac:dyDescent="0.35">
      <c r="A2878" s="274" t="e">
        <f>MATCH(B2878,STUDIES!$A$3:$A$502,0)</f>
        <v>#N/A</v>
      </c>
      <c r="F2878" s="155">
        <f>_xlfn.XLOOKUP(B2878,STUDIES!$A$3:$A$1063,STUDIES!$G$3:$G$1063,"Not Found!")</f>
        <v>0</v>
      </c>
    </row>
    <row r="2879" spans="1:6" ht="18" customHeight="1" x14ac:dyDescent="0.35">
      <c r="A2879" s="274" t="e">
        <f>MATCH(B2879,STUDIES!$A$3:$A$502,0)</f>
        <v>#N/A</v>
      </c>
      <c r="F2879" s="155">
        <f>_xlfn.XLOOKUP(B2879,STUDIES!$A$3:$A$1063,STUDIES!$G$3:$G$1063,"Not Found!")</f>
        <v>0</v>
      </c>
    </row>
    <row r="2880" spans="1:6" ht="18" customHeight="1" x14ac:dyDescent="0.35">
      <c r="A2880" s="274" t="e">
        <f>MATCH(B2880,STUDIES!$A$3:$A$502,0)</f>
        <v>#N/A</v>
      </c>
      <c r="F2880" s="155">
        <f>_xlfn.XLOOKUP(B2880,STUDIES!$A$3:$A$1063,STUDIES!$G$3:$G$1063,"Not Found!")</f>
        <v>0</v>
      </c>
    </row>
    <row r="2881" spans="1:6" ht="18" customHeight="1" x14ac:dyDescent="0.35">
      <c r="A2881" s="274" t="e">
        <f>MATCH(B2881,STUDIES!$A$3:$A$502,0)</f>
        <v>#N/A</v>
      </c>
      <c r="F2881" s="155">
        <f>_xlfn.XLOOKUP(B2881,STUDIES!$A$3:$A$1063,STUDIES!$G$3:$G$1063,"Not Found!")</f>
        <v>0</v>
      </c>
    </row>
    <row r="2882" spans="1:6" ht="18" customHeight="1" x14ac:dyDescent="0.35">
      <c r="A2882" s="274" t="e">
        <f>MATCH(B2882,STUDIES!$A$3:$A$502,0)</f>
        <v>#N/A</v>
      </c>
      <c r="F2882" s="155">
        <f>_xlfn.XLOOKUP(B2882,STUDIES!$A$3:$A$1063,STUDIES!$G$3:$G$1063,"Not Found!")</f>
        <v>0</v>
      </c>
    </row>
    <row r="2883" spans="1:6" ht="18" customHeight="1" x14ac:dyDescent="0.35">
      <c r="A2883" s="274" t="e">
        <f>MATCH(B2883,STUDIES!$A$3:$A$502,0)</f>
        <v>#N/A</v>
      </c>
      <c r="F2883" s="155">
        <f>_xlfn.XLOOKUP(B2883,STUDIES!$A$3:$A$1063,STUDIES!$G$3:$G$1063,"Not Found!")</f>
        <v>0</v>
      </c>
    </row>
    <row r="2884" spans="1:6" ht="18" customHeight="1" x14ac:dyDescent="0.35">
      <c r="A2884" s="274" t="e">
        <f>MATCH(B2884,STUDIES!$A$3:$A$502,0)</f>
        <v>#N/A</v>
      </c>
      <c r="F2884" s="155">
        <f>_xlfn.XLOOKUP(B2884,STUDIES!$A$3:$A$1063,STUDIES!$G$3:$G$1063,"Not Found!")</f>
        <v>0</v>
      </c>
    </row>
    <row r="2885" spans="1:6" ht="18" customHeight="1" x14ac:dyDescent="0.35">
      <c r="A2885" s="274" t="e">
        <f>MATCH(B2885,STUDIES!$A$3:$A$502,0)</f>
        <v>#N/A</v>
      </c>
      <c r="F2885" s="155">
        <f>_xlfn.XLOOKUP(B2885,STUDIES!$A$3:$A$1063,STUDIES!$G$3:$G$1063,"Not Found!")</f>
        <v>0</v>
      </c>
    </row>
    <row r="2886" spans="1:6" ht="18" customHeight="1" x14ac:dyDescent="0.35">
      <c r="A2886" s="274" t="e">
        <f>MATCH(B2886,STUDIES!$A$3:$A$502,0)</f>
        <v>#N/A</v>
      </c>
      <c r="F2886" s="155">
        <f>_xlfn.XLOOKUP(B2886,STUDIES!$A$3:$A$1063,STUDIES!$G$3:$G$1063,"Not Found!")</f>
        <v>0</v>
      </c>
    </row>
    <row r="2887" spans="1:6" ht="18" customHeight="1" x14ac:dyDescent="0.35">
      <c r="A2887" s="274" t="e">
        <f>MATCH(B2887,STUDIES!$A$3:$A$502,0)</f>
        <v>#N/A</v>
      </c>
      <c r="F2887" s="155">
        <f>_xlfn.XLOOKUP(B2887,STUDIES!$A$3:$A$1063,STUDIES!$G$3:$G$1063,"Not Found!")</f>
        <v>0</v>
      </c>
    </row>
    <row r="2888" spans="1:6" ht="18" customHeight="1" x14ac:dyDescent="0.35">
      <c r="A2888" s="274" t="e">
        <f>MATCH(B2888,STUDIES!$A$3:$A$502,0)</f>
        <v>#N/A</v>
      </c>
      <c r="F2888" s="155">
        <f>_xlfn.XLOOKUP(B2888,STUDIES!$A$3:$A$1063,STUDIES!$G$3:$G$1063,"Not Found!")</f>
        <v>0</v>
      </c>
    </row>
    <row r="2889" spans="1:6" ht="18" customHeight="1" x14ac:dyDescent="0.35">
      <c r="A2889" s="274" t="e">
        <f>MATCH(B2889,STUDIES!$A$3:$A$502,0)</f>
        <v>#N/A</v>
      </c>
      <c r="F2889" s="155">
        <f>_xlfn.XLOOKUP(B2889,STUDIES!$A$3:$A$1063,STUDIES!$G$3:$G$1063,"Not Found!")</f>
        <v>0</v>
      </c>
    </row>
    <row r="2890" spans="1:6" ht="18" customHeight="1" x14ac:dyDescent="0.35">
      <c r="A2890" s="274" t="e">
        <f>MATCH(B2890,STUDIES!$A$3:$A$502,0)</f>
        <v>#N/A</v>
      </c>
      <c r="F2890" s="155">
        <f>_xlfn.XLOOKUP(B2890,STUDIES!$A$3:$A$1063,STUDIES!$G$3:$G$1063,"Not Found!")</f>
        <v>0</v>
      </c>
    </row>
    <row r="2891" spans="1:6" ht="18" customHeight="1" x14ac:dyDescent="0.35">
      <c r="A2891" s="274" t="e">
        <f>MATCH(B2891,STUDIES!$A$3:$A$502,0)</f>
        <v>#N/A</v>
      </c>
      <c r="F2891" s="155">
        <f>_xlfn.XLOOKUP(B2891,STUDIES!$A$3:$A$1063,STUDIES!$G$3:$G$1063,"Not Found!")</f>
        <v>0</v>
      </c>
    </row>
    <row r="2892" spans="1:6" ht="18" customHeight="1" x14ac:dyDescent="0.35">
      <c r="A2892" s="274" t="e">
        <f>MATCH(B2892,STUDIES!$A$3:$A$502,0)</f>
        <v>#N/A</v>
      </c>
      <c r="F2892" s="155">
        <f>_xlfn.XLOOKUP(B2892,STUDIES!$A$3:$A$1063,STUDIES!$G$3:$G$1063,"Not Found!")</f>
        <v>0</v>
      </c>
    </row>
    <row r="2893" spans="1:6" ht="18" customHeight="1" x14ac:dyDescent="0.35">
      <c r="A2893" s="274" t="e">
        <f>MATCH(B2893,STUDIES!$A$3:$A$502,0)</f>
        <v>#N/A</v>
      </c>
      <c r="F2893" s="155">
        <f>_xlfn.XLOOKUP(B2893,STUDIES!$A$3:$A$1063,STUDIES!$G$3:$G$1063,"Not Found!")</f>
        <v>0</v>
      </c>
    </row>
    <row r="2894" spans="1:6" ht="18" customHeight="1" x14ac:dyDescent="0.35">
      <c r="A2894" s="274" t="e">
        <f>MATCH(B2894,STUDIES!$A$3:$A$502,0)</f>
        <v>#N/A</v>
      </c>
      <c r="F2894" s="155">
        <f>_xlfn.XLOOKUP(B2894,STUDIES!$A$3:$A$1063,STUDIES!$G$3:$G$1063,"Not Found!")</f>
        <v>0</v>
      </c>
    </row>
    <row r="2895" spans="1:6" ht="18" customHeight="1" x14ac:dyDescent="0.35">
      <c r="A2895" s="274" t="e">
        <f>MATCH(B2895,STUDIES!$A$3:$A$502,0)</f>
        <v>#N/A</v>
      </c>
      <c r="F2895" s="155">
        <f>_xlfn.XLOOKUP(B2895,STUDIES!$A$3:$A$1063,STUDIES!$G$3:$G$1063,"Not Found!")</f>
        <v>0</v>
      </c>
    </row>
    <row r="2896" spans="1:6" ht="18" customHeight="1" x14ac:dyDescent="0.35">
      <c r="A2896" s="274" t="e">
        <f>MATCH(B2896,STUDIES!$A$3:$A$502,0)</f>
        <v>#N/A</v>
      </c>
      <c r="F2896" s="155">
        <f>_xlfn.XLOOKUP(B2896,STUDIES!$A$3:$A$1063,STUDIES!$G$3:$G$1063,"Not Found!")</f>
        <v>0</v>
      </c>
    </row>
    <row r="2897" spans="1:6" ht="18" customHeight="1" x14ac:dyDescent="0.35">
      <c r="A2897" s="274" t="e">
        <f>MATCH(B2897,STUDIES!$A$3:$A$502,0)</f>
        <v>#N/A</v>
      </c>
      <c r="F2897" s="155">
        <f>_xlfn.XLOOKUP(B2897,STUDIES!$A$3:$A$1063,STUDIES!$G$3:$G$1063,"Not Found!")</f>
        <v>0</v>
      </c>
    </row>
    <row r="2898" spans="1:6" ht="18" customHeight="1" x14ac:dyDescent="0.35">
      <c r="A2898" s="274" t="e">
        <f>MATCH(B2898,STUDIES!$A$3:$A$502,0)</f>
        <v>#N/A</v>
      </c>
      <c r="F2898" s="155">
        <f>_xlfn.XLOOKUP(B2898,STUDIES!$A$3:$A$1063,STUDIES!$G$3:$G$1063,"Not Found!")</f>
        <v>0</v>
      </c>
    </row>
    <row r="2899" spans="1:6" ht="18" customHeight="1" x14ac:dyDescent="0.35">
      <c r="A2899" s="274" t="e">
        <f>MATCH(B2899,STUDIES!$A$3:$A$502,0)</f>
        <v>#N/A</v>
      </c>
      <c r="F2899" s="155">
        <f>_xlfn.XLOOKUP(B2899,STUDIES!$A$3:$A$1063,STUDIES!$G$3:$G$1063,"Not Found!")</f>
        <v>0</v>
      </c>
    </row>
    <row r="2900" spans="1:6" ht="18" customHeight="1" x14ac:dyDescent="0.35">
      <c r="A2900" s="274" t="e">
        <f>MATCH(B2900,STUDIES!$A$3:$A$502,0)</f>
        <v>#N/A</v>
      </c>
      <c r="F2900" s="155">
        <f>_xlfn.XLOOKUP(B2900,STUDIES!$A$3:$A$1063,STUDIES!$G$3:$G$1063,"Not Found!")</f>
        <v>0</v>
      </c>
    </row>
    <row r="2901" spans="1:6" ht="18" customHeight="1" x14ac:dyDescent="0.35">
      <c r="A2901" s="274" t="e">
        <f>MATCH(B2901,STUDIES!$A$3:$A$502,0)</f>
        <v>#N/A</v>
      </c>
      <c r="F2901" s="155">
        <f>_xlfn.XLOOKUP(B2901,STUDIES!$A$3:$A$1063,STUDIES!$G$3:$G$1063,"Not Found!")</f>
        <v>0</v>
      </c>
    </row>
    <row r="2902" spans="1:6" ht="18" customHeight="1" x14ac:dyDescent="0.35">
      <c r="A2902" s="274" t="e">
        <f>MATCH(B2902,STUDIES!$A$3:$A$502,0)</f>
        <v>#N/A</v>
      </c>
      <c r="F2902" s="155">
        <f>_xlfn.XLOOKUP(B2902,STUDIES!$A$3:$A$1063,STUDIES!$G$3:$G$1063,"Not Found!")</f>
        <v>0</v>
      </c>
    </row>
    <row r="2903" spans="1:6" ht="18" customHeight="1" x14ac:dyDescent="0.35">
      <c r="A2903" s="274" t="e">
        <f>MATCH(B2903,STUDIES!$A$3:$A$502,0)</f>
        <v>#N/A</v>
      </c>
      <c r="F2903" s="155">
        <f>_xlfn.XLOOKUP(B2903,STUDIES!$A$3:$A$1063,STUDIES!$G$3:$G$1063,"Not Found!")</f>
        <v>0</v>
      </c>
    </row>
    <row r="2904" spans="1:6" ht="18" customHeight="1" x14ac:dyDescent="0.35">
      <c r="A2904" s="274" t="e">
        <f>MATCH(B2904,STUDIES!$A$3:$A$502,0)</f>
        <v>#N/A</v>
      </c>
      <c r="F2904" s="155">
        <f>_xlfn.XLOOKUP(B2904,STUDIES!$A$3:$A$1063,STUDIES!$G$3:$G$1063,"Not Found!")</f>
        <v>0</v>
      </c>
    </row>
    <row r="2905" spans="1:6" ht="18" customHeight="1" x14ac:dyDescent="0.35">
      <c r="A2905" s="274" t="e">
        <f>MATCH(B2905,STUDIES!$A$3:$A$502,0)</f>
        <v>#N/A</v>
      </c>
      <c r="F2905" s="155">
        <f>_xlfn.XLOOKUP(B2905,STUDIES!$A$3:$A$1063,STUDIES!$G$3:$G$1063,"Not Found!")</f>
        <v>0</v>
      </c>
    </row>
    <row r="2906" spans="1:6" ht="18" customHeight="1" x14ac:dyDescent="0.35">
      <c r="A2906" s="274" t="e">
        <f>MATCH(B2906,STUDIES!$A$3:$A$502,0)</f>
        <v>#N/A</v>
      </c>
      <c r="F2906" s="155">
        <f>_xlfn.XLOOKUP(B2906,STUDIES!$A$3:$A$1063,STUDIES!$G$3:$G$1063,"Not Found!")</f>
        <v>0</v>
      </c>
    </row>
    <row r="2907" spans="1:6" ht="18" customHeight="1" x14ac:dyDescent="0.35">
      <c r="A2907" s="274" t="e">
        <f>MATCH(B2907,STUDIES!$A$3:$A$502,0)</f>
        <v>#N/A</v>
      </c>
      <c r="F2907" s="155">
        <f>_xlfn.XLOOKUP(B2907,STUDIES!$A$3:$A$1063,STUDIES!$G$3:$G$1063,"Not Found!")</f>
        <v>0</v>
      </c>
    </row>
    <row r="2908" spans="1:6" ht="18" customHeight="1" x14ac:dyDescent="0.35">
      <c r="A2908" s="274" t="e">
        <f>MATCH(B2908,STUDIES!$A$3:$A$502,0)</f>
        <v>#N/A</v>
      </c>
      <c r="F2908" s="155">
        <f>_xlfn.XLOOKUP(B2908,STUDIES!$A$3:$A$1063,STUDIES!$G$3:$G$1063,"Not Found!")</f>
        <v>0</v>
      </c>
    </row>
    <row r="2909" spans="1:6" ht="18" customHeight="1" x14ac:dyDescent="0.35">
      <c r="A2909" s="274" t="e">
        <f>MATCH(B2909,STUDIES!$A$3:$A$502,0)</f>
        <v>#N/A</v>
      </c>
      <c r="F2909" s="155">
        <f>_xlfn.XLOOKUP(B2909,STUDIES!$A$3:$A$1063,STUDIES!$G$3:$G$1063,"Not Found!")</f>
        <v>0</v>
      </c>
    </row>
    <row r="2910" spans="1:6" ht="18" customHeight="1" x14ac:dyDescent="0.35">
      <c r="A2910" s="274" t="e">
        <f>MATCH(B2910,STUDIES!$A$3:$A$502,0)</f>
        <v>#N/A</v>
      </c>
      <c r="F2910" s="155">
        <f>_xlfn.XLOOKUP(B2910,STUDIES!$A$3:$A$1063,STUDIES!$G$3:$G$1063,"Not Found!")</f>
        <v>0</v>
      </c>
    </row>
    <row r="2911" spans="1:6" ht="18" customHeight="1" x14ac:dyDescent="0.35">
      <c r="A2911" s="274" t="e">
        <f>MATCH(B2911,STUDIES!$A$3:$A$502,0)</f>
        <v>#N/A</v>
      </c>
      <c r="F2911" s="155">
        <f>_xlfn.XLOOKUP(B2911,STUDIES!$A$3:$A$1063,STUDIES!$G$3:$G$1063,"Not Found!")</f>
        <v>0</v>
      </c>
    </row>
    <row r="2912" spans="1:6" ht="18" customHeight="1" x14ac:dyDescent="0.35">
      <c r="A2912" s="274" t="e">
        <f>MATCH(B2912,STUDIES!$A$3:$A$502,0)</f>
        <v>#N/A</v>
      </c>
      <c r="F2912" s="155">
        <f>_xlfn.XLOOKUP(B2912,STUDIES!$A$3:$A$1063,STUDIES!$G$3:$G$1063,"Not Found!")</f>
        <v>0</v>
      </c>
    </row>
    <row r="2913" spans="1:6" ht="18" customHeight="1" x14ac:dyDescent="0.35">
      <c r="A2913" s="274" t="e">
        <f>MATCH(B2913,STUDIES!$A$3:$A$502,0)</f>
        <v>#N/A</v>
      </c>
      <c r="F2913" s="155">
        <f>_xlfn.XLOOKUP(B2913,STUDIES!$A$3:$A$1063,STUDIES!$G$3:$G$1063,"Not Found!")</f>
        <v>0</v>
      </c>
    </row>
    <row r="2914" spans="1:6" ht="18" customHeight="1" x14ac:dyDescent="0.35">
      <c r="A2914" s="274" t="e">
        <f>MATCH(B2914,STUDIES!$A$3:$A$502,0)</f>
        <v>#N/A</v>
      </c>
      <c r="F2914" s="155">
        <f>_xlfn.XLOOKUP(B2914,STUDIES!$A$3:$A$1063,STUDIES!$G$3:$G$1063,"Not Found!")</f>
        <v>0</v>
      </c>
    </row>
    <row r="2915" spans="1:6" ht="18" customHeight="1" x14ac:dyDescent="0.35">
      <c r="A2915" s="274" t="e">
        <f>MATCH(B2915,STUDIES!$A$3:$A$502,0)</f>
        <v>#N/A</v>
      </c>
      <c r="F2915" s="155">
        <f>_xlfn.XLOOKUP(B2915,STUDIES!$A$3:$A$1063,STUDIES!$G$3:$G$1063,"Not Found!")</f>
        <v>0</v>
      </c>
    </row>
    <row r="2916" spans="1:6" ht="18" customHeight="1" x14ac:dyDescent="0.35">
      <c r="A2916" s="274" t="e">
        <f>MATCH(B2916,STUDIES!$A$3:$A$502,0)</f>
        <v>#N/A</v>
      </c>
      <c r="F2916" s="155">
        <f>_xlfn.XLOOKUP(B2916,STUDIES!$A$3:$A$1063,STUDIES!$G$3:$G$1063,"Not Found!")</f>
        <v>0</v>
      </c>
    </row>
    <row r="2917" spans="1:6" ht="18" customHeight="1" x14ac:dyDescent="0.35">
      <c r="A2917" s="274" t="e">
        <f>MATCH(B2917,STUDIES!$A$3:$A$502,0)</f>
        <v>#N/A</v>
      </c>
      <c r="F2917" s="155">
        <f>_xlfn.XLOOKUP(B2917,STUDIES!$A$3:$A$1063,STUDIES!$G$3:$G$1063,"Not Found!")</f>
        <v>0</v>
      </c>
    </row>
    <row r="2918" spans="1:6" ht="18" customHeight="1" x14ac:dyDescent="0.35">
      <c r="A2918" s="274" t="e">
        <f>MATCH(B2918,STUDIES!$A$3:$A$502,0)</f>
        <v>#N/A</v>
      </c>
      <c r="F2918" s="155">
        <f>_xlfn.XLOOKUP(B2918,STUDIES!$A$3:$A$1063,STUDIES!$G$3:$G$1063,"Not Found!")</f>
        <v>0</v>
      </c>
    </row>
    <row r="2919" spans="1:6" ht="18" customHeight="1" x14ac:dyDescent="0.35">
      <c r="A2919" s="274" t="e">
        <f>MATCH(B2919,STUDIES!$A$3:$A$502,0)</f>
        <v>#N/A</v>
      </c>
      <c r="F2919" s="155">
        <f>_xlfn.XLOOKUP(B2919,STUDIES!$A$3:$A$1063,STUDIES!$G$3:$G$1063,"Not Found!")</f>
        <v>0</v>
      </c>
    </row>
    <row r="2920" spans="1:6" ht="18" customHeight="1" x14ac:dyDescent="0.35">
      <c r="A2920" s="274" t="e">
        <f>MATCH(B2920,STUDIES!$A$3:$A$502,0)</f>
        <v>#N/A</v>
      </c>
      <c r="F2920" s="155">
        <f>_xlfn.XLOOKUP(B2920,STUDIES!$A$3:$A$1063,STUDIES!$G$3:$G$1063,"Not Found!")</f>
        <v>0</v>
      </c>
    </row>
    <row r="2921" spans="1:6" ht="18" customHeight="1" x14ac:dyDescent="0.35">
      <c r="A2921" s="274" t="e">
        <f>MATCH(B2921,STUDIES!$A$3:$A$502,0)</f>
        <v>#N/A</v>
      </c>
      <c r="F2921" s="155">
        <f>_xlfn.XLOOKUP(B2921,STUDIES!$A$3:$A$1063,STUDIES!$G$3:$G$1063,"Not Found!")</f>
        <v>0</v>
      </c>
    </row>
    <row r="2922" spans="1:6" ht="18" customHeight="1" x14ac:dyDescent="0.35">
      <c r="A2922" s="274" t="e">
        <f>MATCH(B2922,STUDIES!$A$3:$A$502,0)</f>
        <v>#N/A</v>
      </c>
      <c r="F2922" s="155">
        <f>_xlfn.XLOOKUP(B2922,STUDIES!$A$3:$A$1063,STUDIES!$G$3:$G$1063,"Not Found!")</f>
        <v>0</v>
      </c>
    </row>
    <row r="2923" spans="1:6" ht="18" customHeight="1" x14ac:dyDescent="0.35">
      <c r="A2923" s="274" t="e">
        <f>MATCH(B2923,STUDIES!$A$3:$A$502,0)</f>
        <v>#N/A</v>
      </c>
      <c r="F2923" s="155">
        <f>_xlfn.XLOOKUP(B2923,STUDIES!$A$3:$A$1063,STUDIES!$G$3:$G$1063,"Not Found!")</f>
        <v>0</v>
      </c>
    </row>
    <row r="2924" spans="1:6" ht="18" customHeight="1" x14ac:dyDescent="0.35">
      <c r="A2924" s="274" t="e">
        <f>MATCH(B2924,STUDIES!$A$3:$A$502,0)</f>
        <v>#N/A</v>
      </c>
      <c r="F2924" s="155">
        <f>_xlfn.XLOOKUP(B2924,STUDIES!$A$3:$A$1063,STUDIES!$G$3:$G$1063,"Not Found!")</f>
        <v>0</v>
      </c>
    </row>
    <row r="2925" spans="1:6" ht="18" customHeight="1" x14ac:dyDescent="0.35">
      <c r="A2925" s="274" t="e">
        <f>MATCH(B2925,STUDIES!$A$3:$A$502,0)</f>
        <v>#N/A</v>
      </c>
      <c r="F2925" s="155">
        <f>_xlfn.XLOOKUP(B2925,STUDIES!$A$3:$A$1063,STUDIES!$G$3:$G$1063,"Not Found!")</f>
        <v>0</v>
      </c>
    </row>
    <row r="2926" spans="1:6" ht="18" customHeight="1" x14ac:dyDescent="0.35">
      <c r="A2926" s="274" t="e">
        <f>MATCH(B2926,STUDIES!$A$3:$A$502,0)</f>
        <v>#N/A</v>
      </c>
      <c r="F2926" s="155">
        <f>_xlfn.XLOOKUP(B2926,STUDIES!$A$3:$A$1063,STUDIES!$G$3:$G$1063,"Not Found!")</f>
        <v>0</v>
      </c>
    </row>
    <row r="2927" spans="1:6" ht="18" customHeight="1" x14ac:dyDescent="0.35">
      <c r="A2927" s="274" t="e">
        <f>MATCH(B2927,STUDIES!$A$3:$A$502,0)</f>
        <v>#N/A</v>
      </c>
      <c r="F2927" s="155">
        <f>_xlfn.XLOOKUP(B2927,STUDIES!$A$3:$A$1063,STUDIES!$G$3:$G$1063,"Not Found!")</f>
        <v>0</v>
      </c>
    </row>
    <row r="2928" spans="1:6" ht="18" customHeight="1" x14ac:dyDescent="0.35">
      <c r="A2928" s="274" t="e">
        <f>MATCH(B2928,STUDIES!$A$3:$A$502,0)</f>
        <v>#N/A</v>
      </c>
      <c r="F2928" s="155">
        <f>_xlfn.XLOOKUP(B2928,STUDIES!$A$3:$A$1063,STUDIES!$G$3:$G$1063,"Not Found!")</f>
        <v>0</v>
      </c>
    </row>
    <row r="2929" spans="1:6" ht="18" customHeight="1" x14ac:dyDescent="0.35">
      <c r="A2929" s="274" t="e">
        <f>MATCH(B2929,STUDIES!$A$3:$A$502,0)</f>
        <v>#N/A</v>
      </c>
      <c r="F2929" s="155">
        <f>_xlfn.XLOOKUP(B2929,STUDIES!$A$3:$A$1063,STUDIES!$G$3:$G$1063,"Not Found!")</f>
        <v>0</v>
      </c>
    </row>
    <row r="2930" spans="1:6" ht="18" customHeight="1" x14ac:dyDescent="0.35">
      <c r="A2930" s="274" t="e">
        <f>MATCH(B2930,STUDIES!$A$3:$A$502,0)</f>
        <v>#N/A</v>
      </c>
      <c r="F2930" s="155">
        <f>_xlfn.XLOOKUP(B2930,STUDIES!$A$3:$A$1063,STUDIES!$G$3:$G$1063,"Not Found!")</f>
        <v>0</v>
      </c>
    </row>
    <row r="2931" spans="1:6" ht="18" customHeight="1" x14ac:dyDescent="0.35">
      <c r="A2931" s="274" t="e">
        <f>MATCH(B2931,STUDIES!$A$3:$A$502,0)</f>
        <v>#N/A</v>
      </c>
      <c r="F2931" s="155">
        <f>_xlfn.XLOOKUP(B2931,STUDIES!$A$3:$A$1063,STUDIES!$G$3:$G$1063,"Not Found!")</f>
        <v>0</v>
      </c>
    </row>
    <row r="2932" spans="1:6" ht="18" customHeight="1" x14ac:dyDescent="0.35">
      <c r="A2932" s="274" t="e">
        <f>MATCH(B2932,STUDIES!$A$3:$A$502,0)</f>
        <v>#N/A</v>
      </c>
      <c r="F2932" s="155">
        <f>_xlfn.XLOOKUP(B2932,STUDIES!$A$3:$A$1063,STUDIES!$G$3:$G$1063,"Not Found!")</f>
        <v>0</v>
      </c>
    </row>
    <row r="2933" spans="1:6" ht="18" customHeight="1" x14ac:dyDescent="0.35">
      <c r="A2933" s="274" t="e">
        <f>MATCH(B2933,STUDIES!$A$3:$A$502,0)</f>
        <v>#N/A</v>
      </c>
      <c r="F2933" s="155">
        <f>_xlfn.XLOOKUP(B2933,STUDIES!$A$3:$A$1063,STUDIES!$G$3:$G$1063,"Not Found!")</f>
        <v>0</v>
      </c>
    </row>
    <row r="2934" spans="1:6" ht="18" customHeight="1" x14ac:dyDescent="0.35">
      <c r="A2934" s="274" t="e">
        <f>MATCH(B2934,STUDIES!$A$3:$A$502,0)</f>
        <v>#N/A</v>
      </c>
      <c r="F2934" s="155">
        <f>_xlfn.XLOOKUP(B2934,STUDIES!$A$3:$A$1063,STUDIES!$G$3:$G$1063,"Not Found!")</f>
        <v>0</v>
      </c>
    </row>
    <row r="2935" spans="1:6" ht="18" customHeight="1" x14ac:dyDescent="0.35">
      <c r="A2935" s="274" t="e">
        <f>MATCH(B2935,STUDIES!$A$3:$A$502,0)</f>
        <v>#N/A</v>
      </c>
      <c r="F2935" s="155">
        <f>_xlfn.XLOOKUP(B2935,STUDIES!$A$3:$A$1063,STUDIES!$G$3:$G$1063,"Not Found!")</f>
        <v>0</v>
      </c>
    </row>
    <row r="2936" spans="1:6" ht="18" customHeight="1" x14ac:dyDescent="0.35">
      <c r="A2936" s="274" t="e">
        <f>MATCH(B2936,STUDIES!$A$3:$A$502,0)</f>
        <v>#N/A</v>
      </c>
      <c r="F2936" s="155">
        <f>_xlfn.XLOOKUP(B2936,STUDIES!$A$3:$A$1063,STUDIES!$G$3:$G$1063,"Not Found!")</f>
        <v>0</v>
      </c>
    </row>
    <row r="2937" spans="1:6" ht="18" customHeight="1" x14ac:dyDescent="0.35">
      <c r="A2937" s="274" t="e">
        <f>MATCH(B2937,STUDIES!$A$3:$A$502,0)</f>
        <v>#N/A</v>
      </c>
      <c r="F2937" s="155">
        <f>_xlfn.XLOOKUP(B2937,STUDIES!$A$3:$A$1063,STUDIES!$G$3:$G$1063,"Not Found!")</f>
        <v>0</v>
      </c>
    </row>
    <row r="2938" spans="1:6" ht="18" customHeight="1" x14ac:dyDescent="0.35">
      <c r="A2938" s="274" t="e">
        <f>MATCH(B2938,STUDIES!$A$3:$A$502,0)</f>
        <v>#N/A</v>
      </c>
      <c r="F2938" s="155">
        <f>_xlfn.XLOOKUP(B2938,STUDIES!$A$3:$A$1063,STUDIES!$G$3:$G$1063,"Not Found!")</f>
        <v>0</v>
      </c>
    </row>
    <row r="2939" spans="1:6" ht="18" customHeight="1" x14ac:dyDescent="0.35">
      <c r="A2939" s="274" t="e">
        <f>MATCH(B2939,STUDIES!$A$3:$A$502,0)</f>
        <v>#N/A</v>
      </c>
      <c r="F2939" s="155">
        <f>_xlfn.XLOOKUP(B2939,STUDIES!$A$3:$A$1063,STUDIES!$G$3:$G$1063,"Not Found!")</f>
        <v>0</v>
      </c>
    </row>
    <row r="2940" spans="1:6" ht="18" customHeight="1" x14ac:dyDescent="0.35">
      <c r="A2940" s="274" t="e">
        <f>MATCH(B2940,STUDIES!$A$3:$A$502,0)</f>
        <v>#N/A</v>
      </c>
      <c r="F2940" s="155">
        <f>_xlfn.XLOOKUP(B2940,STUDIES!$A$3:$A$1063,STUDIES!$G$3:$G$1063,"Not Found!")</f>
        <v>0</v>
      </c>
    </row>
    <row r="2941" spans="1:6" ht="18" customHeight="1" x14ac:dyDescent="0.35">
      <c r="A2941" s="274" t="e">
        <f>MATCH(B2941,STUDIES!$A$3:$A$502,0)</f>
        <v>#N/A</v>
      </c>
      <c r="F2941" s="155">
        <f>_xlfn.XLOOKUP(B2941,STUDIES!$A$3:$A$1063,STUDIES!$G$3:$G$1063,"Not Found!")</f>
        <v>0</v>
      </c>
    </row>
    <row r="2942" spans="1:6" ht="18" customHeight="1" x14ac:dyDescent="0.35">
      <c r="A2942" s="274" t="e">
        <f>MATCH(B2942,STUDIES!$A$3:$A$502,0)</f>
        <v>#N/A</v>
      </c>
      <c r="F2942" s="155">
        <f>_xlfn.XLOOKUP(B2942,STUDIES!$A$3:$A$1063,STUDIES!$G$3:$G$1063,"Not Found!")</f>
        <v>0</v>
      </c>
    </row>
    <row r="2943" spans="1:6" ht="18" customHeight="1" x14ac:dyDescent="0.35">
      <c r="A2943" s="274" t="e">
        <f>MATCH(B2943,STUDIES!$A$3:$A$502,0)</f>
        <v>#N/A</v>
      </c>
      <c r="F2943" s="155">
        <f>_xlfn.XLOOKUP(B2943,STUDIES!$A$3:$A$1063,STUDIES!$G$3:$G$1063,"Not Found!")</f>
        <v>0</v>
      </c>
    </row>
    <row r="2944" spans="1:6" ht="18" customHeight="1" x14ac:dyDescent="0.35">
      <c r="A2944" s="274" t="e">
        <f>MATCH(B2944,STUDIES!$A$3:$A$502,0)</f>
        <v>#N/A</v>
      </c>
      <c r="F2944" s="155">
        <f>_xlfn.XLOOKUP(B2944,STUDIES!$A$3:$A$1063,STUDIES!$G$3:$G$1063,"Not Found!")</f>
        <v>0</v>
      </c>
    </row>
    <row r="2945" spans="1:6" ht="18" customHeight="1" x14ac:dyDescent="0.35">
      <c r="A2945" s="274" t="e">
        <f>MATCH(B2945,STUDIES!$A$3:$A$502,0)</f>
        <v>#N/A</v>
      </c>
      <c r="F2945" s="155">
        <f>_xlfn.XLOOKUP(B2945,STUDIES!$A$3:$A$1063,STUDIES!$G$3:$G$1063,"Not Found!")</f>
        <v>0</v>
      </c>
    </row>
    <row r="2946" spans="1:6" ht="18" customHeight="1" x14ac:dyDescent="0.35">
      <c r="A2946" s="274" t="e">
        <f>MATCH(B2946,STUDIES!$A$3:$A$502,0)</f>
        <v>#N/A</v>
      </c>
      <c r="F2946" s="155">
        <f>_xlfn.XLOOKUP(B2946,STUDIES!$A$3:$A$1063,STUDIES!$G$3:$G$1063,"Not Found!")</f>
        <v>0</v>
      </c>
    </row>
    <row r="2947" spans="1:6" ht="18" customHeight="1" x14ac:dyDescent="0.35">
      <c r="A2947" s="274" t="e">
        <f>MATCH(B2947,STUDIES!$A$3:$A$502,0)</f>
        <v>#N/A</v>
      </c>
      <c r="F2947" s="155">
        <f>_xlfn.XLOOKUP(B2947,STUDIES!$A$3:$A$1063,STUDIES!$G$3:$G$1063,"Not Found!")</f>
        <v>0</v>
      </c>
    </row>
    <row r="2948" spans="1:6" ht="18" customHeight="1" x14ac:dyDescent="0.35">
      <c r="A2948" s="274" t="e">
        <f>MATCH(B2948,STUDIES!$A$3:$A$502,0)</f>
        <v>#N/A</v>
      </c>
      <c r="F2948" s="155">
        <f>_xlfn.XLOOKUP(B2948,STUDIES!$A$3:$A$1063,STUDIES!$G$3:$G$1063,"Not Found!")</f>
        <v>0</v>
      </c>
    </row>
    <row r="2949" spans="1:6" ht="18" customHeight="1" x14ac:dyDescent="0.35">
      <c r="A2949" s="274" t="e">
        <f>MATCH(B2949,STUDIES!$A$3:$A$502,0)</f>
        <v>#N/A</v>
      </c>
      <c r="F2949" s="155">
        <f>_xlfn.XLOOKUP(B2949,STUDIES!$A$3:$A$1063,STUDIES!$G$3:$G$1063,"Not Found!")</f>
        <v>0</v>
      </c>
    </row>
    <row r="2950" spans="1:6" ht="18" customHeight="1" x14ac:dyDescent="0.35">
      <c r="A2950" s="274" t="e">
        <f>MATCH(B2950,STUDIES!$A$3:$A$502,0)</f>
        <v>#N/A</v>
      </c>
      <c r="F2950" s="155">
        <f>_xlfn.XLOOKUP(B2950,STUDIES!$A$3:$A$1063,STUDIES!$G$3:$G$1063,"Not Found!")</f>
        <v>0</v>
      </c>
    </row>
    <row r="2951" spans="1:6" ht="18" customHeight="1" x14ac:dyDescent="0.35">
      <c r="A2951" s="274" t="e">
        <f>MATCH(B2951,STUDIES!$A$3:$A$502,0)</f>
        <v>#N/A</v>
      </c>
      <c r="F2951" s="155">
        <f>_xlfn.XLOOKUP(B2951,STUDIES!$A$3:$A$1063,STUDIES!$G$3:$G$1063,"Not Found!")</f>
        <v>0</v>
      </c>
    </row>
    <row r="2952" spans="1:6" ht="18" customHeight="1" x14ac:dyDescent="0.35">
      <c r="A2952" s="274" t="e">
        <f>MATCH(B2952,STUDIES!$A$3:$A$502,0)</f>
        <v>#N/A</v>
      </c>
      <c r="F2952" s="155">
        <f>_xlfn.XLOOKUP(B2952,STUDIES!$A$3:$A$1063,STUDIES!$G$3:$G$1063,"Not Found!")</f>
        <v>0</v>
      </c>
    </row>
    <row r="2953" spans="1:6" ht="18" customHeight="1" x14ac:dyDescent="0.35">
      <c r="A2953" s="274" t="e">
        <f>MATCH(B2953,STUDIES!$A$3:$A$502,0)</f>
        <v>#N/A</v>
      </c>
      <c r="F2953" s="155">
        <f>_xlfn.XLOOKUP(B2953,STUDIES!$A$3:$A$1063,STUDIES!$G$3:$G$1063,"Not Found!")</f>
        <v>0</v>
      </c>
    </row>
    <row r="2954" spans="1:6" ht="18" customHeight="1" x14ac:dyDescent="0.35">
      <c r="A2954" s="274" t="e">
        <f>MATCH(B2954,STUDIES!$A$3:$A$502,0)</f>
        <v>#N/A</v>
      </c>
      <c r="F2954" s="155">
        <f>_xlfn.XLOOKUP(B2954,STUDIES!$A$3:$A$1063,STUDIES!$G$3:$G$1063,"Not Found!")</f>
        <v>0</v>
      </c>
    </row>
    <row r="2955" spans="1:6" ht="18" customHeight="1" x14ac:dyDescent="0.35">
      <c r="A2955" s="274" t="e">
        <f>MATCH(B2955,STUDIES!$A$3:$A$502,0)</f>
        <v>#N/A</v>
      </c>
      <c r="F2955" s="155">
        <f>_xlfn.XLOOKUP(B2955,STUDIES!$A$3:$A$1063,STUDIES!$G$3:$G$1063,"Not Found!")</f>
        <v>0</v>
      </c>
    </row>
    <row r="2956" spans="1:6" ht="18" customHeight="1" x14ac:dyDescent="0.35">
      <c r="A2956" s="274" t="e">
        <f>MATCH(B2956,STUDIES!$A$3:$A$502,0)</f>
        <v>#N/A</v>
      </c>
      <c r="F2956" s="155">
        <f>_xlfn.XLOOKUP(B2956,STUDIES!$A$3:$A$1063,STUDIES!$G$3:$G$1063,"Not Found!")</f>
        <v>0</v>
      </c>
    </row>
    <row r="2957" spans="1:6" ht="18" customHeight="1" x14ac:dyDescent="0.35">
      <c r="A2957" s="274" t="e">
        <f>MATCH(B2957,STUDIES!$A$3:$A$502,0)</f>
        <v>#N/A</v>
      </c>
      <c r="F2957" s="155">
        <f>_xlfn.XLOOKUP(B2957,STUDIES!$A$3:$A$1063,STUDIES!$G$3:$G$1063,"Not Found!")</f>
        <v>0</v>
      </c>
    </row>
    <row r="2958" spans="1:6" ht="18" customHeight="1" x14ac:dyDescent="0.35">
      <c r="A2958" s="274" t="e">
        <f>MATCH(B2958,STUDIES!$A$3:$A$502,0)</f>
        <v>#N/A</v>
      </c>
      <c r="F2958" s="155">
        <f>_xlfn.XLOOKUP(B2958,STUDIES!$A$3:$A$1063,STUDIES!$G$3:$G$1063,"Not Found!")</f>
        <v>0</v>
      </c>
    </row>
    <row r="2959" spans="1:6" ht="18" customHeight="1" x14ac:dyDescent="0.35">
      <c r="A2959" s="274" t="e">
        <f>MATCH(B2959,STUDIES!$A$3:$A$502,0)</f>
        <v>#N/A</v>
      </c>
      <c r="F2959" s="155">
        <f>_xlfn.XLOOKUP(B2959,STUDIES!$A$3:$A$1063,STUDIES!$G$3:$G$1063,"Not Found!")</f>
        <v>0</v>
      </c>
    </row>
    <row r="2960" spans="1:6" ht="18" customHeight="1" x14ac:dyDescent="0.35">
      <c r="A2960" s="274" t="e">
        <f>MATCH(B2960,STUDIES!$A$3:$A$502,0)</f>
        <v>#N/A</v>
      </c>
      <c r="F2960" s="155">
        <f>_xlfn.XLOOKUP(B2960,STUDIES!$A$3:$A$1063,STUDIES!$G$3:$G$1063,"Not Found!")</f>
        <v>0</v>
      </c>
    </row>
    <row r="2961" spans="1:6" ht="18" customHeight="1" x14ac:dyDescent="0.35">
      <c r="A2961" s="274" t="e">
        <f>MATCH(B2961,STUDIES!$A$3:$A$502,0)</f>
        <v>#N/A</v>
      </c>
      <c r="F2961" s="155">
        <f>_xlfn.XLOOKUP(B2961,STUDIES!$A$3:$A$1063,STUDIES!$G$3:$G$1063,"Not Found!")</f>
        <v>0</v>
      </c>
    </row>
    <row r="2962" spans="1:6" ht="18" customHeight="1" x14ac:dyDescent="0.35">
      <c r="A2962" s="274" t="e">
        <f>MATCH(B2962,STUDIES!$A$3:$A$502,0)</f>
        <v>#N/A</v>
      </c>
      <c r="F2962" s="155">
        <f>_xlfn.XLOOKUP(B2962,STUDIES!$A$3:$A$1063,STUDIES!$G$3:$G$1063,"Not Found!")</f>
        <v>0</v>
      </c>
    </row>
    <row r="2963" spans="1:6" ht="18" customHeight="1" x14ac:dyDescent="0.35">
      <c r="A2963" s="274" t="e">
        <f>MATCH(B2963,STUDIES!$A$3:$A$502,0)</f>
        <v>#N/A</v>
      </c>
      <c r="F2963" s="155">
        <f>_xlfn.XLOOKUP(B2963,STUDIES!$A$3:$A$1063,STUDIES!$G$3:$G$1063,"Not Found!")</f>
        <v>0</v>
      </c>
    </row>
    <row r="2964" spans="1:6" ht="18" customHeight="1" x14ac:dyDescent="0.35">
      <c r="A2964" s="274" t="e">
        <f>MATCH(B2964,STUDIES!$A$3:$A$502,0)</f>
        <v>#N/A</v>
      </c>
      <c r="F2964" s="155">
        <f>_xlfn.XLOOKUP(B2964,STUDIES!$A$3:$A$1063,STUDIES!$G$3:$G$1063,"Not Found!")</f>
        <v>0</v>
      </c>
    </row>
    <row r="2965" spans="1:6" ht="18" customHeight="1" x14ac:dyDescent="0.35">
      <c r="A2965" s="274" t="e">
        <f>MATCH(B2965,STUDIES!$A$3:$A$502,0)</f>
        <v>#N/A</v>
      </c>
      <c r="F2965" s="155">
        <f>_xlfn.XLOOKUP(B2965,STUDIES!$A$3:$A$1063,STUDIES!$G$3:$G$1063,"Not Found!")</f>
        <v>0</v>
      </c>
    </row>
    <row r="2966" spans="1:6" ht="18" customHeight="1" x14ac:dyDescent="0.35">
      <c r="A2966" s="274" t="e">
        <f>MATCH(B2966,STUDIES!$A$3:$A$502,0)</f>
        <v>#N/A</v>
      </c>
      <c r="F2966" s="155">
        <f>_xlfn.XLOOKUP(B2966,STUDIES!$A$3:$A$1063,STUDIES!$G$3:$G$1063,"Not Found!")</f>
        <v>0</v>
      </c>
    </row>
    <row r="2967" spans="1:6" ht="18" customHeight="1" x14ac:dyDescent="0.35">
      <c r="A2967" s="274" t="e">
        <f>MATCH(B2967,STUDIES!$A$3:$A$502,0)</f>
        <v>#N/A</v>
      </c>
      <c r="F2967" s="155">
        <f>_xlfn.XLOOKUP(B2967,STUDIES!$A$3:$A$1063,STUDIES!$G$3:$G$1063,"Not Found!")</f>
        <v>0</v>
      </c>
    </row>
    <row r="2968" spans="1:6" ht="18" customHeight="1" x14ac:dyDescent="0.35">
      <c r="A2968" s="274" t="e">
        <f>MATCH(B2968,STUDIES!$A$3:$A$502,0)</f>
        <v>#N/A</v>
      </c>
      <c r="F2968" s="155">
        <f>_xlfn.XLOOKUP(B2968,STUDIES!$A$3:$A$1063,STUDIES!$G$3:$G$1063,"Not Found!")</f>
        <v>0</v>
      </c>
    </row>
    <row r="2969" spans="1:6" ht="18" customHeight="1" x14ac:dyDescent="0.35">
      <c r="A2969" s="274" t="e">
        <f>MATCH(B2969,STUDIES!$A$3:$A$502,0)</f>
        <v>#N/A</v>
      </c>
      <c r="F2969" s="155">
        <f>_xlfn.XLOOKUP(B2969,STUDIES!$A$3:$A$1063,STUDIES!$G$3:$G$1063,"Not Found!")</f>
        <v>0</v>
      </c>
    </row>
    <row r="2970" spans="1:6" ht="18" customHeight="1" x14ac:dyDescent="0.35">
      <c r="A2970" s="274" t="e">
        <f>MATCH(B2970,STUDIES!$A$3:$A$502,0)</f>
        <v>#N/A</v>
      </c>
      <c r="F2970" s="155">
        <f>_xlfn.XLOOKUP(B2970,STUDIES!$A$3:$A$1063,STUDIES!$G$3:$G$1063,"Not Found!")</f>
        <v>0</v>
      </c>
    </row>
    <row r="2971" spans="1:6" ht="18" customHeight="1" x14ac:dyDescent="0.35">
      <c r="A2971" s="274" t="e">
        <f>MATCH(B2971,STUDIES!$A$3:$A$502,0)</f>
        <v>#N/A</v>
      </c>
      <c r="F2971" s="155">
        <f>_xlfn.XLOOKUP(B2971,STUDIES!$A$3:$A$1063,STUDIES!$G$3:$G$1063,"Not Found!")</f>
        <v>0</v>
      </c>
    </row>
    <row r="2972" spans="1:6" ht="18" customHeight="1" x14ac:dyDescent="0.35">
      <c r="A2972" s="274" t="e">
        <f>MATCH(B2972,STUDIES!$A$3:$A$502,0)</f>
        <v>#N/A</v>
      </c>
      <c r="F2972" s="155">
        <f>_xlfn.XLOOKUP(B2972,STUDIES!$A$3:$A$1063,STUDIES!$G$3:$G$1063,"Not Found!")</f>
        <v>0</v>
      </c>
    </row>
    <row r="2973" spans="1:6" ht="18" customHeight="1" x14ac:dyDescent="0.35">
      <c r="A2973" s="274" t="e">
        <f>MATCH(B2973,STUDIES!$A$3:$A$502,0)</f>
        <v>#N/A</v>
      </c>
      <c r="F2973" s="155">
        <f>_xlfn.XLOOKUP(B2973,STUDIES!$A$3:$A$1063,STUDIES!$G$3:$G$1063,"Not Found!")</f>
        <v>0</v>
      </c>
    </row>
    <row r="2974" spans="1:6" ht="18" customHeight="1" x14ac:dyDescent="0.35">
      <c r="A2974" s="274" t="e">
        <f>MATCH(B2974,STUDIES!$A$3:$A$502,0)</f>
        <v>#N/A</v>
      </c>
      <c r="F2974" s="155">
        <f>_xlfn.XLOOKUP(B2974,STUDIES!$A$3:$A$1063,STUDIES!$G$3:$G$1063,"Not Found!")</f>
        <v>0</v>
      </c>
    </row>
    <row r="2975" spans="1:6" ht="18" customHeight="1" x14ac:dyDescent="0.35">
      <c r="A2975" s="274" t="e">
        <f>MATCH(B2975,STUDIES!$A$3:$A$502,0)</f>
        <v>#N/A</v>
      </c>
      <c r="F2975" s="155">
        <f>_xlfn.XLOOKUP(B2975,STUDIES!$A$3:$A$1063,STUDIES!$G$3:$G$1063,"Not Found!")</f>
        <v>0</v>
      </c>
    </row>
    <row r="2976" spans="1:6" ht="18" customHeight="1" x14ac:dyDescent="0.35">
      <c r="A2976" s="274" t="e">
        <f>MATCH(B2976,STUDIES!$A$3:$A$502,0)</f>
        <v>#N/A</v>
      </c>
      <c r="F2976" s="155">
        <f>_xlfn.XLOOKUP(B2976,STUDIES!$A$3:$A$1063,STUDIES!$G$3:$G$1063,"Not Found!")</f>
        <v>0</v>
      </c>
    </row>
    <row r="2977" spans="1:6" ht="18" customHeight="1" x14ac:dyDescent="0.35">
      <c r="A2977" s="274" t="e">
        <f>MATCH(B2977,STUDIES!$A$3:$A$502,0)</f>
        <v>#N/A</v>
      </c>
      <c r="F2977" s="155">
        <f>_xlfn.XLOOKUP(B2977,STUDIES!$A$3:$A$1063,STUDIES!$G$3:$G$1063,"Not Found!")</f>
        <v>0</v>
      </c>
    </row>
    <row r="2978" spans="1:6" ht="18" customHeight="1" x14ac:dyDescent="0.35">
      <c r="A2978" s="274" t="e">
        <f>MATCH(B2978,STUDIES!$A$3:$A$502,0)</f>
        <v>#N/A</v>
      </c>
      <c r="F2978" s="155">
        <f>_xlfn.XLOOKUP(B2978,STUDIES!$A$3:$A$1063,STUDIES!$G$3:$G$1063,"Not Found!")</f>
        <v>0</v>
      </c>
    </row>
    <row r="2979" spans="1:6" ht="18" customHeight="1" x14ac:dyDescent="0.35">
      <c r="A2979" s="274" t="e">
        <f>MATCH(B2979,STUDIES!$A$3:$A$502,0)</f>
        <v>#N/A</v>
      </c>
      <c r="F2979" s="155">
        <f>_xlfn.XLOOKUP(B2979,STUDIES!$A$3:$A$1063,STUDIES!$G$3:$G$1063,"Not Found!")</f>
        <v>0</v>
      </c>
    </row>
    <row r="2980" spans="1:6" ht="18" customHeight="1" x14ac:dyDescent="0.35">
      <c r="A2980" s="274" t="e">
        <f>MATCH(B2980,STUDIES!$A$3:$A$502,0)</f>
        <v>#N/A</v>
      </c>
      <c r="F2980" s="155">
        <f>_xlfn.XLOOKUP(B2980,STUDIES!$A$3:$A$1063,STUDIES!$G$3:$G$1063,"Not Found!")</f>
        <v>0</v>
      </c>
    </row>
    <row r="2981" spans="1:6" ht="18" customHeight="1" x14ac:dyDescent="0.35">
      <c r="A2981" s="274" t="e">
        <f>MATCH(B2981,STUDIES!$A$3:$A$502,0)</f>
        <v>#N/A</v>
      </c>
      <c r="F2981" s="155">
        <f>_xlfn.XLOOKUP(B2981,STUDIES!$A$3:$A$1063,STUDIES!$G$3:$G$1063,"Not Found!")</f>
        <v>0</v>
      </c>
    </row>
    <row r="2982" spans="1:6" ht="18" customHeight="1" x14ac:dyDescent="0.35">
      <c r="A2982" s="274" t="e">
        <f>MATCH(B2982,STUDIES!$A$3:$A$502,0)</f>
        <v>#N/A</v>
      </c>
      <c r="F2982" s="155">
        <f>_xlfn.XLOOKUP(B2982,STUDIES!$A$3:$A$1063,STUDIES!$G$3:$G$1063,"Not Found!")</f>
        <v>0</v>
      </c>
    </row>
    <row r="2983" spans="1:6" ht="18" customHeight="1" x14ac:dyDescent="0.35">
      <c r="A2983" s="274" t="e">
        <f>MATCH(B2983,STUDIES!$A$3:$A$502,0)</f>
        <v>#N/A</v>
      </c>
      <c r="F2983" s="155">
        <f>_xlfn.XLOOKUP(B2983,STUDIES!$A$3:$A$1063,STUDIES!$G$3:$G$1063,"Not Found!")</f>
        <v>0</v>
      </c>
    </row>
    <row r="2984" spans="1:6" ht="18" customHeight="1" x14ac:dyDescent="0.35">
      <c r="A2984" s="274" t="e">
        <f>MATCH(B2984,STUDIES!$A$3:$A$502,0)</f>
        <v>#N/A</v>
      </c>
      <c r="F2984" s="155">
        <f>_xlfn.XLOOKUP(B2984,STUDIES!$A$3:$A$1063,STUDIES!$G$3:$G$1063,"Not Found!")</f>
        <v>0</v>
      </c>
    </row>
    <row r="2985" spans="1:6" ht="18" customHeight="1" x14ac:dyDescent="0.35">
      <c r="A2985" s="274" t="e">
        <f>MATCH(B2985,STUDIES!$A$3:$A$502,0)</f>
        <v>#N/A</v>
      </c>
      <c r="F2985" s="155">
        <f>_xlfn.XLOOKUP(B2985,STUDIES!$A$3:$A$1063,STUDIES!$G$3:$G$1063,"Not Found!")</f>
        <v>0</v>
      </c>
    </row>
    <row r="2986" spans="1:6" ht="18" customHeight="1" x14ac:dyDescent="0.35">
      <c r="A2986" s="274" t="e">
        <f>MATCH(B2986,STUDIES!$A$3:$A$502,0)</f>
        <v>#N/A</v>
      </c>
      <c r="F2986" s="155">
        <f>_xlfn.XLOOKUP(B2986,STUDIES!$A$3:$A$1063,STUDIES!$G$3:$G$1063,"Not Found!")</f>
        <v>0</v>
      </c>
    </row>
    <row r="2987" spans="1:6" ht="18" customHeight="1" x14ac:dyDescent="0.35">
      <c r="A2987" s="274" t="e">
        <f>MATCH(B2987,STUDIES!$A$3:$A$502,0)</f>
        <v>#N/A</v>
      </c>
      <c r="F2987" s="155">
        <f>_xlfn.XLOOKUP(B2987,STUDIES!$A$3:$A$1063,STUDIES!$G$3:$G$1063,"Not Found!")</f>
        <v>0</v>
      </c>
    </row>
    <row r="2988" spans="1:6" ht="18" customHeight="1" x14ac:dyDescent="0.35">
      <c r="A2988" s="274" t="e">
        <f>MATCH(B2988,STUDIES!$A$3:$A$502,0)</f>
        <v>#N/A</v>
      </c>
      <c r="F2988" s="155">
        <f>_xlfn.XLOOKUP(B2988,STUDIES!$A$3:$A$1063,STUDIES!$G$3:$G$1063,"Not Found!")</f>
        <v>0</v>
      </c>
    </row>
    <row r="2989" spans="1:6" ht="18" customHeight="1" x14ac:dyDescent="0.35">
      <c r="A2989" s="274" t="e">
        <f>MATCH(B2989,STUDIES!$A$3:$A$502,0)</f>
        <v>#N/A</v>
      </c>
      <c r="F2989" s="155">
        <f>_xlfn.XLOOKUP(B2989,STUDIES!$A$3:$A$1063,STUDIES!$G$3:$G$1063,"Not Found!")</f>
        <v>0</v>
      </c>
    </row>
    <row r="2990" spans="1:6" ht="18" customHeight="1" x14ac:dyDescent="0.35">
      <c r="A2990" s="274" t="e">
        <f>MATCH(B2990,STUDIES!$A$3:$A$502,0)</f>
        <v>#N/A</v>
      </c>
      <c r="F2990" s="155">
        <f>_xlfn.XLOOKUP(B2990,STUDIES!$A$3:$A$1063,STUDIES!$G$3:$G$1063,"Not Found!")</f>
        <v>0</v>
      </c>
    </row>
    <row r="2991" spans="1:6" ht="18" customHeight="1" x14ac:dyDescent="0.35">
      <c r="A2991" s="274" t="e">
        <f>MATCH(B2991,STUDIES!$A$3:$A$502,0)</f>
        <v>#N/A</v>
      </c>
      <c r="F2991" s="155">
        <f>_xlfn.XLOOKUP(B2991,STUDIES!$A$3:$A$1063,STUDIES!$G$3:$G$1063,"Not Found!")</f>
        <v>0</v>
      </c>
    </row>
    <row r="2992" spans="1:6" ht="18" customHeight="1" x14ac:dyDescent="0.35">
      <c r="A2992" s="274" t="e">
        <f>MATCH(B2992,STUDIES!$A$3:$A$502,0)</f>
        <v>#N/A</v>
      </c>
      <c r="F2992" s="155">
        <f>_xlfn.XLOOKUP(B2992,STUDIES!$A$3:$A$1063,STUDIES!$G$3:$G$1063,"Not Found!")</f>
        <v>0</v>
      </c>
    </row>
    <row r="2993" spans="1:6" ht="18" customHeight="1" x14ac:dyDescent="0.35">
      <c r="A2993" s="274" t="e">
        <f>MATCH(B2993,STUDIES!$A$3:$A$502,0)</f>
        <v>#N/A</v>
      </c>
      <c r="F2993" s="155">
        <f>_xlfn.XLOOKUP(B2993,STUDIES!$A$3:$A$1063,STUDIES!$G$3:$G$1063,"Not Found!")</f>
        <v>0</v>
      </c>
    </row>
    <row r="2994" spans="1:6" ht="18" customHeight="1" x14ac:dyDescent="0.35">
      <c r="A2994" s="274" t="e">
        <f>MATCH(B2994,STUDIES!$A$3:$A$502,0)</f>
        <v>#N/A</v>
      </c>
      <c r="F2994" s="155">
        <f>_xlfn.XLOOKUP(B2994,STUDIES!$A$3:$A$1063,STUDIES!$G$3:$G$1063,"Not Found!")</f>
        <v>0</v>
      </c>
    </row>
    <row r="2995" spans="1:6" ht="18" customHeight="1" x14ac:dyDescent="0.35">
      <c r="A2995" s="274" t="e">
        <f>MATCH(B2995,STUDIES!$A$3:$A$502,0)</f>
        <v>#N/A</v>
      </c>
      <c r="F2995" s="155">
        <f>_xlfn.XLOOKUP(B2995,STUDIES!$A$3:$A$1063,STUDIES!$G$3:$G$1063,"Not Found!")</f>
        <v>0</v>
      </c>
    </row>
    <row r="2996" spans="1:6" ht="18" customHeight="1" x14ac:dyDescent="0.35">
      <c r="A2996" s="274" t="e">
        <f>MATCH(B2996,STUDIES!$A$3:$A$502,0)</f>
        <v>#N/A</v>
      </c>
      <c r="F2996" s="155">
        <f>_xlfn.XLOOKUP(B2996,STUDIES!$A$3:$A$1063,STUDIES!$G$3:$G$1063,"Not Found!")</f>
        <v>0</v>
      </c>
    </row>
    <row r="2997" spans="1:6" ht="18" customHeight="1" x14ac:dyDescent="0.35">
      <c r="A2997" s="274" t="e">
        <f>MATCH(B2997,STUDIES!$A$3:$A$502,0)</f>
        <v>#N/A</v>
      </c>
      <c r="F2997" s="155">
        <f>_xlfn.XLOOKUP(B2997,STUDIES!$A$3:$A$1063,STUDIES!$G$3:$G$1063,"Not Found!")</f>
        <v>0</v>
      </c>
    </row>
    <row r="2998" spans="1:6" ht="18" customHeight="1" x14ac:dyDescent="0.35">
      <c r="A2998" s="274" t="e">
        <f>MATCH(B2998,STUDIES!$A$3:$A$502,0)</f>
        <v>#N/A</v>
      </c>
      <c r="F2998" s="155">
        <f>_xlfn.XLOOKUP(B2998,STUDIES!$A$3:$A$1063,STUDIES!$G$3:$G$1063,"Not Found!")</f>
        <v>0</v>
      </c>
    </row>
    <row r="2999" spans="1:6" ht="18" customHeight="1" x14ac:dyDescent="0.35">
      <c r="A2999" s="274" t="e">
        <f>MATCH(B2999,STUDIES!$A$3:$A$502,0)</f>
        <v>#N/A</v>
      </c>
      <c r="F2999" s="155">
        <f>_xlfn.XLOOKUP(B2999,STUDIES!$A$3:$A$1063,STUDIES!$G$3:$G$1063,"Not Found!")</f>
        <v>0</v>
      </c>
    </row>
    <row r="3000" spans="1:6" ht="18" customHeight="1" x14ac:dyDescent="0.35">
      <c r="A3000" s="274" t="e">
        <f>MATCH(B3000,STUDIES!$A$3:$A$502,0)</f>
        <v>#N/A</v>
      </c>
      <c r="F3000" s="155">
        <f>_xlfn.XLOOKUP(B3000,STUDIES!$A$3:$A$1063,STUDIES!$G$3:$G$1063,"Not Found!")</f>
        <v>0</v>
      </c>
    </row>
    <row r="3001" spans="1:6" ht="18" customHeight="1" x14ac:dyDescent="0.35">
      <c r="A3001" s="274" t="e">
        <f>MATCH(B3001,STUDIES!$A$3:$A$502,0)</f>
        <v>#N/A</v>
      </c>
      <c r="F3001" s="155">
        <f>_xlfn.XLOOKUP(B3001,STUDIES!$A$3:$A$1063,STUDIES!$G$3:$G$1063,"Not Found!")</f>
        <v>0</v>
      </c>
    </row>
    <row r="3002" spans="1:6" ht="18" customHeight="1" x14ac:dyDescent="0.35">
      <c r="A3002" s="274" t="e">
        <f>MATCH(B3002,STUDIES!$A$3:$A$502,0)</f>
        <v>#N/A</v>
      </c>
      <c r="F3002" s="155">
        <f>_xlfn.XLOOKUP(B3002,STUDIES!$A$3:$A$1063,STUDIES!$G$3:$G$1063,"Not Found!")</f>
        <v>0</v>
      </c>
    </row>
    <row r="3003" spans="1:6" ht="18" customHeight="1" x14ac:dyDescent="0.35">
      <c r="A3003" s="274" t="e">
        <f>MATCH(B3003,STUDIES!$A$3:$A$502,0)</f>
        <v>#N/A</v>
      </c>
      <c r="F3003" s="155">
        <f>_xlfn.XLOOKUP(B3003,STUDIES!$A$3:$A$1063,STUDIES!$G$3:$G$1063,"Not Found!")</f>
        <v>0</v>
      </c>
    </row>
    <row r="3004" spans="1:6" ht="18" customHeight="1" x14ac:dyDescent="0.35">
      <c r="A3004" s="274" t="e">
        <f>MATCH(B3004,STUDIES!$A$3:$A$502,0)</f>
        <v>#N/A</v>
      </c>
      <c r="F3004" s="155">
        <f>_xlfn.XLOOKUP(B3004,STUDIES!$A$3:$A$1063,STUDIES!$G$3:$G$1063,"Not Found!")</f>
        <v>0</v>
      </c>
    </row>
    <row r="3005" spans="1:6" ht="18" customHeight="1" x14ac:dyDescent="0.35">
      <c r="A3005" s="274" t="e">
        <f>MATCH(B3005,STUDIES!$A$3:$A$502,0)</f>
        <v>#N/A</v>
      </c>
      <c r="F3005" s="155">
        <f>_xlfn.XLOOKUP(B3005,STUDIES!$A$3:$A$1063,STUDIES!$G$3:$G$1063,"Not Found!")</f>
        <v>0</v>
      </c>
    </row>
    <row r="3006" spans="1:6" ht="18" customHeight="1" x14ac:dyDescent="0.35">
      <c r="A3006" s="274" t="e">
        <f>MATCH(B3006,STUDIES!$A$3:$A$502,0)</f>
        <v>#N/A</v>
      </c>
      <c r="F3006" s="155">
        <f>_xlfn.XLOOKUP(B3006,STUDIES!$A$3:$A$1063,STUDIES!$G$3:$G$1063,"Not Found!")</f>
        <v>0</v>
      </c>
    </row>
    <row r="3007" spans="1:6" ht="18" customHeight="1" x14ac:dyDescent="0.35">
      <c r="A3007" s="274" t="e">
        <f>MATCH(B3007,STUDIES!$A$3:$A$502,0)</f>
        <v>#N/A</v>
      </c>
      <c r="F3007" s="155">
        <f>_xlfn.XLOOKUP(B3007,STUDIES!$A$3:$A$1063,STUDIES!$G$3:$G$1063,"Not Found!")</f>
        <v>0</v>
      </c>
    </row>
    <row r="3008" spans="1:6" ht="18" customHeight="1" x14ac:dyDescent="0.35">
      <c r="A3008" s="274" t="e">
        <f>MATCH(B3008,STUDIES!$A$3:$A$502,0)</f>
        <v>#N/A</v>
      </c>
      <c r="F3008" s="155">
        <f>_xlfn.XLOOKUP(B3008,STUDIES!$A$3:$A$1063,STUDIES!$G$3:$G$1063,"Not Found!")</f>
        <v>0</v>
      </c>
    </row>
    <row r="3009" spans="1:6" ht="18" customHeight="1" x14ac:dyDescent="0.35">
      <c r="A3009" s="274" t="e">
        <f>MATCH(B3009,STUDIES!$A$3:$A$502,0)</f>
        <v>#N/A</v>
      </c>
      <c r="F3009" s="155">
        <f>_xlfn.XLOOKUP(B3009,STUDIES!$A$3:$A$1063,STUDIES!$G$3:$G$1063,"Not Found!")</f>
        <v>0</v>
      </c>
    </row>
    <row r="3010" spans="1:6" ht="18" customHeight="1" x14ac:dyDescent="0.35">
      <c r="A3010" s="274" t="e">
        <f>MATCH(B3010,STUDIES!$A$3:$A$502,0)</f>
        <v>#N/A</v>
      </c>
      <c r="F3010" s="155">
        <f>_xlfn.XLOOKUP(B3010,STUDIES!$A$3:$A$1063,STUDIES!$G$3:$G$1063,"Not Found!")</f>
        <v>0</v>
      </c>
    </row>
    <row r="3011" spans="1:6" ht="18" customHeight="1" x14ac:dyDescent="0.35">
      <c r="A3011" s="274" t="e">
        <f>MATCH(B3011,STUDIES!$A$3:$A$502,0)</f>
        <v>#N/A</v>
      </c>
      <c r="F3011" s="155">
        <f>_xlfn.XLOOKUP(B3011,STUDIES!$A$3:$A$1063,STUDIES!$G$3:$G$1063,"Not Found!")</f>
        <v>0</v>
      </c>
    </row>
    <row r="3012" spans="1:6" ht="18" customHeight="1" x14ac:dyDescent="0.35">
      <c r="A3012" s="274" t="e">
        <f>MATCH(B3012,STUDIES!$A$3:$A$502,0)</f>
        <v>#N/A</v>
      </c>
      <c r="F3012" s="155">
        <f>_xlfn.XLOOKUP(B3012,STUDIES!$A$3:$A$1063,STUDIES!$G$3:$G$1063,"Not Found!")</f>
        <v>0</v>
      </c>
    </row>
    <row r="3013" spans="1:6" ht="18" customHeight="1" x14ac:dyDescent="0.35">
      <c r="A3013" s="274" t="e">
        <f>MATCH(B3013,STUDIES!$A$3:$A$502,0)</f>
        <v>#N/A</v>
      </c>
      <c r="F3013" s="155">
        <f>_xlfn.XLOOKUP(B3013,STUDIES!$A$3:$A$1063,STUDIES!$G$3:$G$1063,"Not Found!")</f>
        <v>0</v>
      </c>
    </row>
    <row r="3014" spans="1:6" ht="18" customHeight="1" x14ac:dyDescent="0.35">
      <c r="A3014" s="274" t="e">
        <f>MATCH(B3014,STUDIES!$A$3:$A$502,0)</f>
        <v>#N/A</v>
      </c>
      <c r="F3014" s="155">
        <f>_xlfn.XLOOKUP(B3014,STUDIES!$A$3:$A$1063,STUDIES!$G$3:$G$1063,"Not Found!")</f>
        <v>0</v>
      </c>
    </row>
    <row r="3015" spans="1:6" ht="18" customHeight="1" x14ac:dyDescent="0.35">
      <c r="A3015" s="274" t="e">
        <f>MATCH(B3015,STUDIES!$A$3:$A$502,0)</f>
        <v>#N/A</v>
      </c>
      <c r="F3015" s="155">
        <f>_xlfn.XLOOKUP(B3015,STUDIES!$A$3:$A$1063,STUDIES!$G$3:$G$1063,"Not Found!")</f>
        <v>0</v>
      </c>
    </row>
    <row r="3016" spans="1:6" ht="18" customHeight="1" x14ac:dyDescent="0.35">
      <c r="A3016" s="274" t="e">
        <f>MATCH(B3016,STUDIES!$A$3:$A$502,0)</f>
        <v>#N/A</v>
      </c>
      <c r="F3016" s="155">
        <f>_xlfn.XLOOKUP(B3016,STUDIES!$A$3:$A$1063,STUDIES!$G$3:$G$1063,"Not Found!")</f>
        <v>0</v>
      </c>
    </row>
    <row r="3017" spans="1:6" ht="18" customHeight="1" x14ac:dyDescent="0.35">
      <c r="A3017" s="274" t="e">
        <f>MATCH(B3017,STUDIES!$A$3:$A$502,0)</f>
        <v>#N/A</v>
      </c>
      <c r="F3017" s="155">
        <f>_xlfn.XLOOKUP(B3017,STUDIES!$A$3:$A$1063,STUDIES!$G$3:$G$1063,"Not Found!")</f>
        <v>0</v>
      </c>
    </row>
    <row r="3018" spans="1:6" ht="18" customHeight="1" x14ac:dyDescent="0.35">
      <c r="A3018" s="274" t="e">
        <f>MATCH(B3018,STUDIES!$A$3:$A$502,0)</f>
        <v>#N/A</v>
      </c>
      <c r="F3018" s="155">
        <f>_xlfn.XLOOKUP(B3018,STUDIES!$A$3:$A$1063,STUDIES!$G$3:$G$1063,"Not Found!")</f>
        <v>0</v>
      </c>
    </row>
    <row r="3019" spans="1:6" ht="18" customHeight="1" x14ac:dyDescent="0.35">
      <c r="A3019" s="274" t="e">
        <f>MATCH(B3019,STUDIES!$A$3:$A$502,0)</f>
        <v>#N/A</v>
      </c>
      <c r="F3019" s="155">
        <f>_xlfn.XLOOKUP(B3019,STUDIES!$A$3:$A$1063,STUDIES!$G$3:$G$1063,"Not Found!")</f>
        <v>0</v>
      </c>
    </row>
    <row r="3020" spans="1:6" ht="18" customHeight="1" x14ac:dyDescent="0.35">
      <c r="A3020" s="274" t="e">
        <f>MATCH(B3020,STUDIES!$A$3:$A$502,0)</f>
        <v>#N/A</v>
      </c>
      <c r="F3020" s="155">
        <f>_xlfn.XLOOKUP(B3020,STUDIES!$A$3:$A$1063,STUDIES!$G$3:$G$1063,"Not Found!")</f>
        <v>0</v>
      </c>
    </row>
    <row r="3021" spans="1:6" ht="18" customHeight="1" x14ac:dyDescent="0.35">
      <c r="A3021" s="274" t="e">
        <f>MATCH(B3021,STUDIES!$A$3:$A$502,0)</f>
        <v>#N/A</v>
      </c>
      <c r="F3021" s="155">
        <f>_xlfn.XLOOKUP(B3021,STUDIES!$A$3:$A$1063,STUDIES!$G$3:$G$1063,"Not Found!")</f>
        <v>0</v>
      </c>
    </row>
    <row r="3022" spans="1:6" ht="18" customHeight="1" x14ac:dyDescent="0.35">
      <c r="A3022" s="274" t="e">
        <f>MATCH(B3022,STUDIES!$A$3:$A$502,0)</f>
        <v>#N/A</v>
      </c>
      <c r="F3022" s="155">
        <f>_xlfn.XLOOKUP(B3022,STUDIES!$A$3:$A$1063,STUDIES!$G$3:$G$1063,"Not Found!")</f>
        <v>0</v>
      </c>
    </row>
    <row r="3023" spans="1:6" ht="18" customHeight="1" x14ac:dyDescent="0.35">
      <c r="A3023" s="274" t="e">
        <f>MATCH(B3023,STUDIES!$A$3:$A$502,0)</f>
        <v>#N/A</v>
      </c>
      <c r="F3023" s="155">
        <f>_xlfn.XLOOKUP(B3023,STUDIES!$A$3:$A$1063,STUDIES!$G$3:$G$1063,"Not Found!")</f>
        <v>0</v>
      </c>
    </row>
    <row r="3024" spans="1:6" ht="18" customHeight="1" x14ac:dyDescent="0.35">
      <c r="A3024" s="274" t="e">
        <f>MATCH(B3024,STUDIES!$A$3:$A$502,0)</f>
        <v>#N/A</v>
      </c>
      <c r="F3024" s="155">
        <f>_xlfn.XLOOKUP(B3024,STUDIES!$A$3:$A$1063,STUDIES!$G$3:$G$1063,"Not Found!")</f>
        <v>0</v>
      </c>
    </row>
    <row r="3025" spans="1:6" ht="18" customHeight="1" x14ac:dyDescent="0.35">
      <c r="A3025" s="274" t="e">
        <f>MATCH(B3025,STUDIES!$A$3:$A$502,0)</f>
        <v>#N/A</v>
      </c>
      <c r="F3025" s="155">
        <f>_xlfn.XLOOKUP(B3025,STUDIES!$A$3:$A$1063,STUDIES!$G$3:$G$1063,"Not Found!")</f>
        <v>0</v>
      </c>
    </row>
    <row r="3026" spans="1:6" ht="18" customHeight="1" x14ac:dyDescent="0.35">
      <c r="A3026" s="274" t="e">
        <f>MATCH(B3026,STUDIES!$A$3:$A$502,0)</f>
        <v>#N/A</v>
      </c>
      <c r="F3026" s="155">
        <f>_xlfn.XLOOKUP(B3026,STUDIES!$A$3:$A$1063,STUDIES!$G$3:$G$1063,"Not Found!")</f>
        <v>0</v>
      </c>
    </row>
    <row r="3027" spans="1:6" ht="18" customHeight="1" x14ac:dyDescent="0.35">
      <c r="A3027" s="274" t="e">
        <f>MATCH(B3027,STUDIES!$A$3:$A$502,0)</f>
        <v>#N/A</v>
      </c>
      <c r="F3027" s="155">
        <f>_xlfn.XLOOKUP(B3027,STUDIES!$A$3:$A$1063,STUDIES!$G$3:$G$1063,"Not Found!")</f>
        <v>0</v>
      </c>
    </row>
    <row r="3028" spans="1:6" ht="18" customHeight="1" x14ac:dyDescent="0.35">
      <c r="A3028" s="274" t="e">
        <f>MATCH(B3028,STUDIES!$A$3:$A$502,0)</f>
        <v>#N/A</v>
      </c>
      <c r="F3028" s="155">
        <f>_xlfn.XLOOKUP(B3028,STUDIES!$A$3:$A$1063,STUDIES!$G$3:$G$1063,"Not Found!")</f>
        <v>0</v>
      </c>
    </row>
    <row r="3029" spans="1:6" ht="18" customHeight="1" x14ac:dyDescent="0.35">
      <c r="A3029" s="274" t="e">
        <f>MATCH(B3029,STUDIES!$A$3:$A$502,0)</f>
        <v>#N/A</v>
      </c>
      <c r="F3029" s="155">
        <f>_xlfn.XLOOKUP(B3029,STUDIES!$A$3:$A$1063,STUDIES!$G$3:$G$1063,"Not Found!")</f>
        <v>0</v>
      </c>
    </row>
    <row r="3030" spans="1:6" ht="18" customHeight="1" x14ac:dyDescent="0.35">
      <c r="A3030" s="274" t="e">
        <f>MATCH(B3030,STUDIES!$A$3:$A$502,0)</f>
        <v>#N/A</v>
      </c>
      <c r="F3030" s="155">
        <f>_xlfn.XLOOKUP(B3030,STUDIES!$A$3:$A$1063,STUDIES!$G$3:$G$1063,"Not Found!")</f>
        <v>0</v>
      </c>
    </row>
    <row r="3031" spans="1:6" ht="18" customHeight="1" x14ac:dyDescent="0.35">
      <c r="A3031" s="274" t="e">
        <f>MATCH(B3031,STUDIES!$A$3:$A$502,0)</f>
        <v>#N/A</v>
      </c>
      <c r="F3031" s="155">
        <f>_xlfn.XLOOKUP(B3031,STUDIES!$A$3:$A$1063,STUDIES!$G$3:$G$1063,"Not Found!")</f>
        <v>0</v>
      </c>
    </row>
    <row r="3032" spans="1:6" ht="18" customHeight="1" x14ac:dyDescent="0.35">
      <c r="A3032" s="274" t="e">
        <f>MATCH(B3032,STUDIES!$A$3:$A$502,0)</f>
        <v>#N/A</v>
      </c>
      <c r="F3032" s="155">
        <f>_xlfn.XLOOKUP(B3032,STUDIES!$A$3:$A$1063,STUDIES!$G$3:$G$1063,"Not Found!")</f>
        <v>0</v>
      </c>
    </row>
    <row r="3033" spans="1:6" ht="18" customHeight="1" x14ac:dyDescent="0.35">
      <c r="A3033" s="274" t="e">
        <f>MATCH(B3033,STUDIES!$A$3:$A$502,0)</f>
        <v>#N/A</v>
      </c>
      <c r="F3033" s="155">
        <f>_xlfn.XLOOKUP(B3033,STUDIES!$A$3:$A$1063,STUDIES!$G$3:$G$1063,"Not Found!")</f>
        <v>0</v>
      </c>
    </row>
    <row r="3034" spans="1:6" ht="18" customHeight="1" x14ac:dyDescent="0.35">
      <c r="A3034" s="274" t="e">
        <f>MATCH(B3034,STUDIES!$A$3:$A$502,0)</f>
        <v>#N/A</v>
      </c>
      <c r="F3034" s="155">
        <f>_xlfn.XLOOKUP(B3034,STUDIES!$A$3:$A$1063,STUDIES!$G$3:$G$1063,"Not Found!")</f>
        <v>0</v>
      </c>
    </row>
    <row r="3035" spans="1:6" ht="18" customHeight="1" x14ac:dyDescent="0.35">
      <c r="A3035" s="274" t="e">
        <f>MATCH(B3035,STUDIES!$A$3:$A$502,0)</f>
        <v>#N/A</v>
      </c>
      <c r="F3035" s="155">
        <f>_xlfn.XLOOKUP(B3035,STUDIES!$A$3:$A$1063,STUDIES!$G$3:$G$1063,"Not Found!")</f>
        <v>0</v>
      </c>
    </row>
    <row r="3036" spans="1:6" ht="18" customHeight="1" x14ac:dyDescent="0.35">
      <c r="A3036" s="274" t="e">
        <f>MATCH(B3036,STUDIES!$A$3:$A$502,0)</f>
        <v>#N/A</v>
      </c>
      <c r="F3036" s="155">
        <f>_xlfn.XLOOKUP(B3036,STUDIES!$A$3:$A$1063,STUDIES!$G$3:$G$1063,"Not Found!")</f>
        <v>0</v>
      </c>
    </row>
    <row r="3037" spans="1:6" ht="18" customHeight="1" x14ac:dyDescent="0.35">
      <c r="A3037" s="274" t="e">
        <f>MATCH(B3037,STUDIES!$A$3:$A$502,0)</f>
        <v>#N/A</v>
      </c>
      <c r="F3037" s="155">
        <f>_xlfn.XLOOKUP(B3037,STUDIES!$A$3:$A$1063,STUDIES!$G$3:$G$1063,"Not Found!")</f>
        <v>0</v>
      </c>
    </row>
    <row r="3038" spans="1:6" ht="18" customHeight="1" x14ac:dyDescent="0.35">
      <c r="A3038" s="274" t="e">
        <f>MATCH(B3038,STUDIES!$A$3:$A$502,0)</f>
        <v>#N/A</v>
      </c>
      <c r="F3038" s="155">
        <f>_xlfn.XLOOKUP(B3038,STUDIES!$A$3:$A$1063,STUDIES!$G$3:$G$1063,"Not Found!")</f>
        <v>0</v>
      </c>
    </row>
    <row r="3039" spans="1:6" ht="18" customHeight="1" x14ac:dyDescent="0.35">
      <c r="A3039" s="274" t="e">
        <f>MATCH(B3039,STUDIES!$A$3:$A$502,0)</f>
        <v>#N/A</v>
      </c>
      <c r="F3039" s="155">
        <f>_xlfn.XLOOKUP(B3039,STUDIES!$A$3:$A$1063,STUDIES!$G$3:$G$1063,"Not Found!")</f>
        <v>0</v>
      </c>
    </row>
    <row r="3040" spans="1:6" ht="18" customHeight="1" x14ac:dyDescent="0.35">
      <c r="A3040" s="274" t="e">
        <f>MATCH(B3040,STUDIES!$A$3:$A$502,0)</f>
        <v>#N/A</v>
      </c>
      <c r="F3040" s="155">
        <f>_xlfn.XLOOKUP(B3040,STUDIES!$A$3:$A$1063,STUDIES!$G$3:$G$1063,"Not Found!")</f>
        <v>0</v>
      </c>
    </row>
    <row r="3041" spans="1:6" ht="18" customHeight="1" x14ac:dyDescent="0.35">
      <c r="A3041" s="274" t="e">
        <f>MATCH(B3041,STUDIES!$A$3:$A$502,0)</f>
        <v>#N/A</v>
      </c>
      <c r="F3041" s="155">
        <f>_xlfn.XLOOKUP(B3041,STUDIES!$A$3:$A$1063,STUDIES!$G$3:$G$1063,"Not Found!")</f>
        <v>0</v>
      </c>
    </row>
    <row r="3042" spans="1:6" ht="18" customHeight="1" x14ac:dyDescent="0.35">
      <c r="A3042" s="274" t="e">
        <f>MATCH(B3042,STUDIES!$A$3:$A$502,0)</f>
        <v>#N/A</v>
      </c>
      <c r="F3042" s="155">
        <f>_xlfn.XLOOKUP(B3042,STUDIES!$A$3:$A$1063,STUDIES!$G$3:$G$1063,"Not Found!")</f>
        <v>0</v>
      </c>
    </row>
    <row r="3043" spans="1:6" ht="18" customHeight="1" x14ac:dyDescent="0.35">
      <c r="A3043" s="274" t="e">
        <f>MATCH(B3043,STUDIES!$A$3:$A$502,0)</f>
        <v>#N/A</v>
      </c>
      <c r="F3043" s="155">
        <f>_xlfn.XLOOKUP(B3043,STUDIES!$A$3:$A$1063,STUDIES!$G$3:$G$1063,"Not Found!")</f>
        <v>0</v>
      </c>
    </row>
    <row r="3044" spans="1:6" ht="18" customHeight="1" x14ac:dyDescent="0.35">
      <c r="A3044" s="274" t="e">
        <f>MATCH(B3044,STUDIES!$A$3:$A$502,0)</f>
        <v>#N/A</v>
      </c>
      <c r="F3044" s="155">
        <f>_xlfn.XLOOKUP(B3044,STUDIES!$A$3:$A$1063,STUDIES!$G$3:$G$1063,"Not Found!")</f>
        <v>0</v>
      </c>
    </row>
    <row r="3045" spans="1:6" ht="18" customHeight="1" x14ac:dyDescent="0.35">
      <c r="A3045" s="274" t="e">
        <f>MATCH(B3045,STUDIES!$A$3:$A$502,0)</f>
        <v>#N/A</v>
      </c>
      <c r="F3045" s="155">
        <f>_xlfn.XLOOKUP(B3045,STUDIES!$A$3:$A$1063,STUDIES!$G$3:$G$1063,"Not Found!")</f>
        <v>0</v>
      </c>
    </row>
    <row r="3046" spans="1:6" ht="18" customHeight="1" x14ac:dyDescent="0.35">
      <c r="A3046" s="274" t="e">
        <f>MATCH(B3046,STUDIES!$A$3:$A$502,0)</f>
        <v>#N/A</v>
      </c>
      <c r="F3046" s="155">
        <f>_xlfn.XLOOKUP(B3046,STUDIES!$A$3:$A$1063,STUDIES!$G$3:$G$1063,"Not Found!")</f>
        <v>0</v>
      </c>
    </row>
    <row r="3047" spans="1:6" ht="18" customHeight="1" x14ac:dyDescent="0.35">
      <c r="A3047" s="274" t="e">
        <f>MATCH(B3047,STUDIES!$A$3:$A$502,0)</f>
        <v>#N/A</v>
      </c>
      <c r="F3047" s="155">
        <f>_xlfn.XLOOKUP(B3047,STUDIES!$A$3:$A$1063,STUDIES!$G$3:$G$1063,"Not Found!")</f>
        <v>0</v>
      </c>
    </row>
    <row r="3048" spans="1:6" ht="18" customHeight="1" x14ac:dyDescent="0.35">
      <c r="A3048" s="274" t="e">
        <f>MATCH(B3048,STUDIES!$A$3:$A$502,0)</f>
        <v>#N/A</v>
      </c>
      <c r="F3048" s="155">
        <f>_xlfn.XLOOKUP(B3048,STUDIES!$A$3:$A$1063,STUDIES!$G$3:$G$1063,"Not Found!")</f>
        <v>0</v>
      </c>
    </row>
    <row r="3049" spans="1:6" ht="18" customHeight="1" x14ac:dyDescent="0.35">
      <c r="A3049" s="274" t="e">
        <f>MATCH(B3049,STUDIES!$A$3:$A$502,0)</f>
        <v>#N/A</v>
      </c>
      <c r="F3049" s="155">
        <f>_xlfn.XLOOKUP(B3049,STUDIES!$A$3:$A$1063,STUDIES!$G$3:$G$1063,"Not Found!")</f>
        <v>0</v>
      </c>
    </row>
    <row r="3050" spans="1:6" ht="18" customHeight="1" x14ac:dyDescent="0.35">
      <c r="A3050" s="274" t="e">
        <f>MATCH(B3050,STUDIES!$A$3:$A$502,0)</f>
        <v>#N/A</v>
      </c>
      <c r="F3050" s="155">
        <f>_xlfn.XLOOKUP(B3050,STUDIES!$A$3:$A$1063,STUDIES!$G$3:$G$1063,"Not Found!")</f>
        <v>0</v>
      </c>
    </row>
    <row r="3051" spans="1:6" ht="18" customHeight="1" x14ac:dyDescent="0.35">
      <c r="A3051" s="274" t="e">
        <f>MATCH(B3051,STUDIES!$A$3:$A$502,0)</f>
        <v>#N/A</v>
      </c>
      <c r="F3051" s="155">
        <f>_xlfn.XLOOKUP(B3051,STUDIES!$A$3:$A$1063,STUDIES!$G$3:$G$1063,"Not Found!")</f>
        <v>0</v>
      </c>
    </row>
    <row r="3052" spans="1:6" ht="18" customHeight="1" x14ac:dyDescent="0.35">
      <c r="A3052" s="274" t="e">
        <f>MATCH(B3052,STUDIES!$A$3:$A$502,0)</f>
        <v>#N/A</v>
      </c>
      <c r="F3052" s="155">
        <f>_xlfn.XLOOKUP(B3052,STUDIES!$A$3:$A$1063,STUDIES!$G$3:$G$1063,"Not Found!")</f>
        <v>0</v>
      </c>
    </row>
    <row r="3053" spans="1:6" ht="18" customHeight="1" x14ac:dyDescent="0.35">
      <c r="A3053" s="274" t="e">
        <f>MATCH(B3053,STUDIES!$A$3:$A$502,0)</f>
        <v>#N/A</v>
      </c>
      <c r="F3053" s="155">
        <f>_xlfn.XLOOKUP(B3053,STUDIES!$A$3:$A$1063,STUDIES!$G$3:$G$1063,"Not Found!")</f>
        <v>0</v>
      </c>
    </row>
    <row r="3054" spans="1:6" ht="18" customHeight="1" x14ac:dyDescent="0.35">
      <c r="A3054" s="274" t="e">
        <f>MATCH(B3054,STUDIES!$A$3:$A$502,0)</f>
        <v>#N/A</v>
      </c>
      <c r="F3054" s="155">
        <f>_xlfn.XLOOKUP(B3054,STUDIES!$A$3:$A$1063,STUDIES!$G$3:$G$1063,"Not Found!")</f>
        <v>0</v>
      </c>
    </row>
    <row r="3055" spans="1:6" ht="18" customHeight="1" x14ac:dyDescent="0.35">
      <c r="A3055" s="274" t="e">
        <f>MATCH(B3055,STUDIES!$A$3:$A$502,0)</f>
        <v>#N/A</v>
      </c>
      <c r="F3055" s="155">
        <f>_xlfn.XLOOKUP(B3055,STUDIES!$A$3:$A$1063,STUDIES!$G$3:$G$1063,"Not Found!")</f>
        <v>0</v>
      </c>
    </row>
    <row r="3056" spans="1:6" ht="18" customHeight="1" x14ac:dyDescent="0.35">
      <c r="A3056" s="274" t="e">
        <f>MATCH(B3056,STUDIES!$A$3:$A$502,0)</f>
        <v>#N/A</v>
      </c>
      <c r="F3056" s="155">
        <f>_xlfn.XLOOKUP(B3056,STUDIES!$A$3:$A$1063,STUDIES!$G$3:$G$1063,"Not Found!")</f>
        <v>0</v>
      </c>
    </row>
    <row r="3057" spans="1:6" ht="18" customHeight="1" x14ac:dyDescent="0.35">
      <c r="A3057" s="274" t="e">
        <f>MATCH(B3057,STUDIES!$A$3:$A$502,0)</f>
        <v>#N/A</v>
      </c>
      <c r="F3057" s="155">
        <f>_xlfn.XLOOKUP(B3057,STUDIES!$A$3:$A$1063,STUDIES!$G$3:$G$1063,"Not Found!")</f>
        <v>0</v>
      </c>
    </row>
    <row r="3058" spans="1:6" ht="18" customHeight="1" x14ac:dyDescent="0.35">
      <c r="A3058" s="274" t="e">
        <f>MATCH(B3058,STUDIES!$A$3:$A$502,0)</f>
        <v>#N/A</v>
      </c>
      <c r="F3058" s="155">
        <f>_xlfn.XLOOKUP(B3058,STUDIES!$A$3:$A$1063,STUDIES!$G$3:$G$1063,"Not Found!")</f>
        <v>0</v>
      </c>
    </row>
    <row r="3059" spans="1:6" ht="18" customHeight="1" x14ac:dyDescent="0.35">
      <c r="A3059" s="274" t="e">
        <f>MATCH(B3059,STUDIES!$A$3:$A$502,0)</f>
        <v>#N/A</v>
      </c>
      <c r="F3059" s="155">
        <f>_xlfn.XLOOKUP(B3059,STUDIES!$A$3:$A$1063,STUDIES!$G$3:$G$1063,"Not Found!")</f>
        <v>0</v>
      </c>
    </row>
    <row r="3060" spans="1:6" ht="18" customHeight="1" x14ac:dyDescent="0.35">
      <c r="A3060" s="274" t="e">
        <f>MATCH(B3060,STUDIES!$A$3:$A$502,0)</f>
        <v>#N/A</v>
      </c>
      <c r="F3060" s="155">
        <f>_xlfn.XLOOKUP(B3060,STUDIES!$A$3:$A$1063,STUDIES!$G$3:$G$1063,"Not Found!")</f>
        <v>0</v>
      </c>
    </row>
    <row r="3061" spans="1:6" ht="18" customHeight="1" x14ac:dyDescent="0.35">
      <c r="A3061" s="274" t="e">
        <f>MATCH(B3061,STUDIES!$A$3:$A$502,0)</f>
        <v>#N/A</v>
      </c>
      <c r="F3061" s="155">
        <f>_xlfn.XLOOKUP(B3061,STUDIES!$A$3:$A$1063,STUDIES!$G$3:$G$1063,"Not Found!")</f>
        <v>0</v>
      </c>
    </row>
    <row r="3062" spans="1:6" ht="18" customHeight="1" x14ac:dyDescent="0.35">
      <c r="A3062" s="274" t="e">
        <f>MATCH(B3062,STUDIES!$A$3:$A$502,0)</f>
        <v>#N/A</v>
      </c>
      <c r="F3062" s="155">
        <f>_xlfn.XLOOKUP(B3062,STUDIES!$A$3:$A$1063,STUDIES!$G$3:$G$1063,"Not Found!")</f>
        <v>0</v>
      </c>
    </row>
    <row r="3063" spans="1:6" ht="18" customHeight="1" x14ac:dyDescent="0.35">
      <c r="A3063" s="274" t="e">
        <f>MATCH(B3063,STUDIES!$A$3:$A$502,0)</f>
        <v>#N/A</v>
      </c>
      <c r="F3063" s="155">
        <f>_xlfn.XLOOKUP(B3063,STUDIES!$A$3:$A$1063,STUDIES!$G$3:$G$1063,"Not Found!")</f>
        <v>0</v>
      </c>
    </row>
    <row r="3064" spans="1:6" ht="18" customHeight="1" x14ac:dyDescent="0.35">
      <c r="A3064" s="274" t="e">
        <f>MATCH(B3064,STUDIES!$A$3:$A$502,0)</f>
        <v>#N/A</v>
      </c>
      <c r="F3064" s="155">
        <f>_xlfn.XLOOKUP(B3064,STUDIES!$A$3:$A$1063,STUDIES!$G$3:$G$1063,"Not Found!")</f>
        <v>0</v>
      </c>
    </row>
    <row r="3065" spans="1:6" ht="18" customHeight="1" x14ac:dyDescent="0.35">
      <c r="A3065" s="274" t="e">
        <f>MATCH(B3065,STUDIES!$A$3:$A$502,0)</f>
        <v>#N/A</v>
      </c>
      <c r="F3065" s="155">
        <f>_xlfn.XLOOKUP(B3065,STUDIES!$A$3:$A$1063,STUDIES!$G$3:$G$1063,"Not Found!")</f>
        <v>0</v>
      </c>
    </row>
    <row r="3066" spans="1:6" ht="18" customHeight="1" x14ac:dyDescent="0.35">
      <c r="A3066" s="274" t="e">
        <f>MATCH(B3066,STUDIES!$A$3:$A$502,0)</f>
        <v>#N/A</v>
      </c>
      <c r="F3066" s="155">
        <f>_xlfn.XLOOKUP(B3066,STUDIES!$A$3:$A$1063,STUDIES!$G$3:$G$1063,"Not Found!")</f>
        <v>0</v>
      </c>
    </row>
    <row r="3067" spans="1:6" ht="18" customHeight="1" x14ac:dyDescent="0.35">
      <c r="A3067" s="274" t="e">
        <f>MATCH(B3067,STUDIES!$A$3:$A$502,0)</f>
        <v>#N/A</v>
      </c>
      <c r="F3067" s="155">
        <f>_xlfn.XLOOKUP(B3067,STUDIES!$A$3:$A$1063,STUDIES!$G$3:$G$1063,"Not Found!")</f>
        <v>0</v>
      </c>
    </row>
    <row r="3068" spans="1:6" ht="18" customHeight="1" x14ac:dyDescent="0.35">
      <c r="A3068" s="274" t="e">
        <f>MATCH(B3068,STUDIES!$A$3:$A$502,0)</f>
        <v>#N/A</v>
      </c>
      <c r="F3068" s="155">
        <f>_xlfn.XLOOKUP(B3068,STUDIES!$A$3:$A$1063,STUDIES!$G$3:$G$1063,"Not Found!")</f>
        <v>0</v>
      </c>
    </row>
    <row r="3069" spans="1:6" ht="18" customHeight="1" x14ac:dyDescent="0.35">
      <c r="A3069" s="274" t="e">
        <f>MATCH(B3069,STUDIES!$A$3:$A$502,0)</f>
        <v>#N/A</v>
      </c>
      <c r="F3069" s="155">
        <f>_xlfn.XLOOKUP(B3069,STUDIES!$A$3:$A$1063,STUDIES!$G$3:$G$1063,"Not Found!")</f>
        <v>0</v>
      </c>
    </row>
    <row r="3070" spans="1:6" ht="18" customHeight="1" x14ac:dyDescent="0.35">
      <c r="A3070" s="274" t="e">
        <f>MATCH(B3070,STUDIES!$A$3:$A$502,0)</f>
        <v>#N/A</v>
      </c>
      <c r="F3070" s="155">
        <f>_xlfn.XLOOKUP(B3070,STUDIES!$A$3:$A$1063,STUDIES!$G$3:$G$1063,"Not Found!")</f>
        <v>0</v>
      </c>
    </row>
    <row r="3071" spans="1:6" ht="18" customHeight="1" x14ac:dyDescent="0.35">
      <c r="A3071" s="274" t="e">
        <f>MATCH(B3071,STUDIES!$A$3:$A$502,0)</f>
        <v>#N/A</v>
      </c>
      <c r="F3071" s="155">
        <f>_xlfn.XLOOKUP(B3071,STUDIES!$A$3:$A$1063,STUDIES!$G$3:$G$1063,"Not Found!")</f>
        <v>0</v>
      </c>
    </row>
    <row r="3072" spans="1:6" ht="18" customHeight="1" x14ac:dyDescent="0.35">
      <c r="A3072" s="274" t="e">
        <f>MATCH(B3072,STUDIES!$A$3:$A$502,0)</f>
        <v>#N/A</v>
      </c>
      <c r="F3072" s="155">
        <f>_xlfn.XLOOKUP(B3072,STUDIES!$A$3:$A$1063,STUDIES!$G$3:$G$1063,"Not Found!")</f>
        <v>0</v>
      </c>
    </row>
    <row r="3073" spans="1:6" ht="18" customHeight="1" x14ac:dyDescent="0.35">
      <c r="A3073" s="274" t="e">
        <f>MATCH(B3073,STUDIES!$A$3:$A$502,0)</f>
        <v>#N/A</v>
      </c>
      <c r="F3073" s="155">
        <f>_xlfn.XLOOKUP(B3073,STUDIES!$A$3:$A$1063,STUDIES!$G$3:$G$1063,"Not Found!")</f>
        <v>0</v>
      </c>
    </row>
    <row r="3074" spans="1:6" ht="18" customHeight="1" x14ac:dyDescent="0.35">
      <c r="A3074" s="274" t="e">
        <f>MATCH(B3074,STUDIES!$A$3:$A$502,0)</f>
        <v>#N/A</v>
      </c>
      <c r="F3074" s="155">
        <f>_xlfn.XLOOKUP(B3074,STUDIES!$A$3:$A$1063,STUDIES!$G$3:$G$1063,"Not Found!")</f>
        <v>0</v>
      </c>
    </row>
    <row r="3075" spans="1:6" ht="18" customHeight="1" x14ac:dyDescent="0.35">
      <c r="A3075" s="274" t="e">
        <f>MATCH(B3075,STUDIES!$A$3:$A$502,0)</f>
        <v>#N/A</v>
      </c>
      <c r="F3075" s="155">
        <f>_xlfn.XLOOKUP(B3075,STUDIES!$A$3:$A$1063,STUDIES!$G$3:$G$1063,"Not Found!")</f>
        <v>0</v>
      </c>
    </row>
    <row r="3076" spans="1:6" ht="18" customHeight="1" x14ac:dyDescent="0.35">
      <c r="A3076" s="274" t="e">
        <f>MATCH(B3076,STUDIES!$A$3:$A$502,0)</f>
        <v>#N/A</v>
      </c>
      <c r="F3076" s="155">
        <f>_xlfn.XLOOKUP(B3076,STUDIES!$A$3:$A$1063,STUDIES!$G$3:$G$1063,"Not Found!")</f>
        <v>0</v>
      </c>
    </row>
    <row r="3077" spans="1:6" ht="18" customHeight="1" x14ac:dyDescent="0.35">
      <c r="A3077" s="274" t="e">
        <f>MATCH(B3077,STUDIES!$A$3:$A$502,0)</f>
        <v>#N/A</v>
      </c>
      <c r="F3077" s="155">
        <f>_xlfn.XLOOKUP(B3077,STUDIES!$A$3:$A$1063,STUDIES!$G$3:$G$1063,"Not Found!")</f>
        <v>0</v>
      </c>
    </row>
    <row r="3078" spans="1:6" ht="18" customHeight="1" x14ac:dyDescent="0.35">
      <c r="A3078" s="274" t="e">
        <f>MATCH(B3078,STUDIES!$A$3:$A$502,0)</f>
        <v>#N/A</v>
      </c>
      <c r="F3078" s="155">
        <f>_xlfn.XLOOKUP(B3078,STUDIES!$A$3:$A$1063,STUDIES!$G$3:$G$1063,"Not Found!")</f>
        <v>0</v>
      </c>
    </row>
    <row r="3079" spans="1:6" ht="18" customHeight="1" x14ac:dyDescent="0.35">
      <c r="A3079" s="274" t="e">
        <f>MATCH(B3079,STUDIES!$A$3:$A$502,0)</f>
        <v>#N/A</v>
      </c>
      <c r="F3079" s="155">
        <f>_xlfn.XLOOKUP(B3079,STUDIES!$A$3:$A$1063,STUDIES!$G$3:$G$1063,"Not Found!")</f>
        <v>0</v>
      </c>
    </row>
    <row r="3080" spans="1:6" ht="18" customHeight="1" x14ac:dyDescent="0.35">
      <c r="A3080" s="274" t="e">
        <f>MATCH(B3080,STUDIES!$A$3:$A$502,0)</f>
        <v>#N/A</v>
      </c>
      <c r="F3080" s="155">
        <f>_xlfn.XLOOKUP(B3080,STUDIES!$A$3:$A$1063,STUDIES!$G$3:$G$1063,"Not Found!")</f>
        <v>0</v>
      </c>
    </row>
    <row r="3081" spans="1:6" ht="18" customHeight="1" x14ac:dyDescent="0.35">
      <c r="A3081" s="274" t="e">
        <f>MATCH(B3081,STUDIES!$A$3:$A$502,0)</f>
        <v>#N/A</v>
      </c>
      <c r="F3081" s="155">
        <f>_xlfn.XLOOKUP(B3081,STUDIES!$A$3:$A$1063,STUDIES!$G$3:$G$1063,"Not Found!")</f>
        <v>0</v>
      </c>
    </row>
    <row r="3082" spans="1:6" ht="18" customHeight="1" x14ac:dyDescent="0.35">
      <c r="A3082" s="274" t="e">
        <f>MATCH(B3082,STUDIES!$A$3:$A$502,0)</f>
        <v>#N/A</v>
      </c>
      <c r="F3082" s="155">
        <f>_xlfn.XLOOKUP(B3082,STUDIES!$A$3:$A$1063,STUDIES!$G$3:$G$1063,"Not Found!")</f>
        <v>0</v>
      </c>
    </row>
    <row r="3083" spans="1:6" ht="18" customHeight="1" x14ac:dyDescent="0.35">
      <c r="A3083" s="274" t="e">
        <f>MATCH(B3083,STUDIES!$A$3:$A$502,0)</f>
        <v>#N/A</v>
      </c>
      <c r="F3083" s="155">
        <f>_xlfn.XLOOKUP(B3083,STUDIES!$A$3:$A$1063,STUDIES!$G$3:$G$1063,"Not Found!")</f>
        <v>0</v>
      </c>
    </row>
    <row r="3084" spans="1:6" ht="18" customHeight="1" x14ac:dyDescent="0.35">
      <c r="A3084" s="274" t="e">
        <f>MATCH(B3084,STUDIES!$A$3:$A$502,0)</f>
        <v>#N/A</v>
      </c>
      <c r="F3084" s="155">
        <f>_xlfn.XLOOKUP(B3084,STUDIES!$A$3:$A$1063,STUDIES!$G$3:$G$1063,"Not Found!")</f>
        <v>0</v>
      </c>
    </row>
    <row r="3085" spans="1:6" ht="18" customHeight="1" x14ac:dyDescent="0.35">
      <c r="A3085" s="274" t="e">
        <f>MATCH(B3085,STUDIES!$A$3:$A$502,0)</f>
        <v>#N/A</v>
      </c>
      <c r="F3085" s="155">
        <f>_xlfn.XLOOKUP(B3085,STUDIES!$A$3:$A$1063,STUDIES!$G$3:$G$1063,"Not Found!")</f>
        <v>0</v>
      </c>
    </row>
    <row r="3086" spans="1:6" ht="18" customHeight="1" x14ac:dyDescent="0.35">
      <c r="A3086" s="274" t="e">
        <f>MATCH(B3086,STUDIES!$A$3:$A$502,0)</f>
        <v>#N/A</v>
      </c>
      <c r="F3086" s="155">
        <f>_xlfn.XLOOKUP(B3086,STUDIES!$A$3:$A$1063,STUDIES!$G$3:$G$1063,"Not Found!")</f>
        <v>0</v>
      </c>
    </row>
    <row r="3087" spans="1:6" ht="18" customHeight="1" x14ac:dyDescent="0.35">
      <c r="A3087" s="274" t="e">
        <f>MATCH(B3087,STUDIES!$A$3:$A$502,0)</f>
        <v>#N/A</v>
      </c>
      <c r="F3087" s="155">
        <f>_xlfn.XLOOKUP(B3087,STUDIES!$A$3:$A$1063,STUDIES!$G$3:$G$1063,"Not Found!")</f>
        <v>0</v>
      </c>
    </row>
    <row r="3088" spans="1:6" ht="18" customHeight="1" x14ac:dyDescent="0.35">
      <c r="A3088" s="274" t="e">
        <f>MATCH(B3088,STUDIES!$A$3:$A$502,0)</f>
        <v>#N/A</v>
      </c>
      <c r="F3088" s="155">
        <f>_xlfn.XLOOKUP(B3088,STUDIES!$A$3:$A$1063,STUDIES!$G$3:$G$1063,"Not Found!")</f>
        <v>0</v>
      </c>
    </row>
    <row r="3089" spans="1:6" ht="18" customHeight="1" x14ac:dyDescent="0.35">
      <c r="A3089" s="274" t="e">
        <f>MATCH(B3089,STUDIES!$A$3:$A$502,0)</f>
        <v>#N/A</v>
      </c>
      <c r="F3089" s="155">
        <f>_xlfn.XLOOKUP(B3089,STUDIES!$A$3:$A$1063,STUDIES!$G$3:$G$1063,"Not Found!")</f>
        <v>0</v>
      </c>
    </row>
    <row r="3090" spans="1:6" ht="18" customHeight="1" x14ac:dyDescent="0.35">
      <c r="A3090" s="274" t="e">
        <f>MATCH(B3090,STUDIES!$A$3:$A$502,0)</f>
        <v>#N/A</v>
      </c>
      <c r="F3090" s="155">
        <f>_xlfn.XLOOKUP(B3090,STUDIES!$A$3:$A$1063,STUDIES!$G$3:$G$1063,"Not Found!")</f>
        <v>0</v>
      </c>
    </row>
    <row r="3091" spans="1:6" ht="18" customHeight="1" x14ac:dyDescent="0.35">
      <c r="A3091" s="274" t="e">
        <f>MATCH(B3091,STUDIES!$A$3:$A$502,0)</f>
        <v>#N/A</v>
      </c>
      <c r="F3091" s="155">
        <f>_xlfn.XLOOKUP(B3091,STUDIES!$A$3:$A$1063,STUDIES!$G$3:$G$1063,"Not Found!")</f>
        <v>0</v>
      </c>
    </row>
    <row r="3092" spans="1:6" ht="18" customHeight="1" x14ac:dyDescent="0.35">
      <c r="A3092" s="274" t="e">
        <f>MATCH(B3092,STUDIES!$A$3:$A$502,0)</f>
        <v>#N/A</v>
      </c>
      <c r="F3092" s="155">
        <f>_xlfn.XLOOKUP(B3092,STUDIES!$A$3:$A$1063,STUDIES!$G$3:$G$1063,"Not Found!")</f>
        <v>0</v>
      </c>
    </row>
    <row r="3093" spans="1:6" ht="18" customHeight="1" x14ac:dyDescent="0.35">
      <c r="A3093" s="274" t="e">
        <f>MATCH(B3093,STUDIES!$A$3:$A$502,0)</f>
        <v>#N/A</v>
      </c>
      <c r="F3093" s="155">
        <f>_xlfn.XLOOKUP(B3093,STUDIES!$A$3:$A$1063,STUDIES!$G$3:$G$1063,"Not Found!")</f>
        <v>0</v>
      </c>
    </row>
    <row r="3094" spans="1:6" ht="18" customHeight="1" x14ac:dyDescent="0.35">
      <c r="A3094" s="274" t="e">
        <f>MATCH(B3094,STUDIES!$A$3:$A$502,0)</f>
        <v>#N/A</v>
      </c>
      <c r="F3094" s="155">
        <f>_xlfn.XLOOKUP(B3094,STUDIES!$A$3:$A$1063,STUDIES!$G$3:$G$1063,"Not Found!")</f>
        <v>0</v>
      </c>
    </row>
    <row r="3095" spans="1:6" ht="18" customHeight="1" x14ac:dyDescent="0.35">
      <c r="A3095" s="274" t="e">
        <f>MATCH(B3095,STUDIES!$A$3:$A$502,0)</f>
        <v>#N/A</v>
      </c>
      <c r="F3095" s="155">
        <f>_xlfn.XLOOKUP(B3095,STUDIES!$A$3:$A$1063,STUDIES!$G$3:$G$1063,"Not Found!")</f>
        <v>0</v>
      </c>
    </row>
    <row r="3096" spans="1:6" ht="18" customHeight="1" x14ac:dyDescent="0.35">
      <c r="A3096" s="274" t="e">
        <f>MATCH(B3096,STUDIES!$A$3:$A$502,0)</f>
        <v>#N/A</v>
      </c>
      <c r="F3096" s="155">
        <f>_xlfn.XLOOKUP(B3096,STUDIES!$A$3:$A$1063,STUDIES!$G$3:$G$1063,"Not Found!")</f>
        <v>0</v>
      </c>
    </row>
    <row r="3097" spans="1:6" ht="18" customHeight="1" x14ac:dyDescent="0.35">
      <c r="A3097" s="274" t="e">
        <f>MATCH(B3097,STUDIES!$A$3:$A$502,0)</f>
        <v>#N/A</v>
      </c>
      <c r="F3097" s="155">
        <f>_xlfn.XLOOKUP(B3097,STUDIES!$A$3:$A$1063,STUDIES!$G$3:$G$1063,"Not Found!")</f>
        <v>0</v>
      </c>
    </row>
    <row r="3098" spans="1:6" ht="18" customHeight="1" x14ac:dyDescent="0.35">
      <c r="A3098" s="274" t="e">
        <f>MATCH(B3098,STUDIES!$A$3:$A$502,0)</f>
        <v>#N/A</v>
      </c>
      <c r="F3098" s="155">
        <f>_xlfn.XLOOKUP(B3098,STUDIES!$A$3:$A$1063,STUDIES!$G$3:$G$1063,"Not Found!")</f>
        <v>0</v>
      </c>
    </row>
    <row r="3099" spans="1:6" ht="18" customHeight="1" x14ac:dyDescent="0.35">
      <c r="A3099" s="274" t="e">
        <f>MATCH(B3099,STUDIES!$A$3:$A$502,0)</f>
        <v>#N/A</v>
      </c>
      <c r="F3099" s="155">
        <f>_xlfn.XLOOKUP(B3099,STUDIES!$A$3:$A$1063,STUDIES!$G$3:$G$1063,"Not Found!")</f>
        <v>0</v>
      </c>
    </row>
    <row r="3100" spans="1:6" ht="18" customHeight="1" x14ac:dyDescent="0.35">
      <c r="A3100" s="274" t="e">
        <f>MATCH(B3100,STUDIES!$A$3:$A$502,0)</f>
        <v>#N/A</v>
      </c>
      <c r="F3100" s="155">
        <f>_xlfn.XLOOKUP(B3100,STUDIES!$A$3:$A$1063,STUDIES!$G$3:$G$1063,"Not Found!")</f>
        <v>0</v>
      </c>
    </row>
    <row r="3101" spans="1:6" ht="18" customHeight="1" x14ac:dyDescent="0.35">
      <c r="A3101" s="274" t="e">
        <f>MATCH(B3101,STUDIES!$A$3:$A$502,0)</f>
        <v>#N/A</v>
      </c>
      <c r="F3101" s="155">
        <f>_xlfn.XLOOKUP(B3101,STUDIES!$A$3:$A$1063,STUDIES!$G$3:$G$1063,"Not Found!")</f>
        <v>0</v>
      </c>
    </row>
    <row r="3102" spans="1:6" ht="18" customHeight="1" x14ac:dyDescent="0.35">
      <c r="A3102" s="274" t="e">
        <f>MATCH(B3102,STUDIES!$A$3:$A$502,0)</f>
        <v>#N/A</v>
      </c>
      <c r="F3102" s="155">
        <f>_xlfn.XLOOKUP(B3102,STUDIES!$A$3:$A$1063,STUDIES!$G$3:$G$1063,"Not Found!")</f>
        <v>0</v>
      </c>
    </row>
    <row r="3103" spans="1:6" ht="18" customHeight="1" x14ac:dyDescent="0.35">
      <c r="A3103" s="274" t="e">
        <f>MATCH(B3103,STUDIES!$A$3:$A$502,0)</f>
        <v>#N/A</v>
      </c>
      <c r="F3103" s="155">
        <f>_xlfn.XLOOKUP(B3103,STUDIES!$A$3:$A$1063,STUDIES!$G$3:$G$1063,"Not Found!")</f>
        <v>0</v>
      </c>
    </row>
    <row r="3104" spans="1:6" ht="18" customHeight="1" x14ac:dyDescent="0.35">
      <c r="A3104" s="274" t="e">
        <f>MATCH(B3104,STUDIES!$A$3:$A$502,0)</f>
        <v>#N/A</v>
      </c>
      <c r="F3104" s="155">
        <f>_xlfn.XLOOKUP(B3104,STUDIES!$A$3:$A$1063,STUDIES!$G$3:$G$1063,"Not Found!")</f>
        <v>0</v>
      </c>
    </row>
    <row r="3105" spans="1:6" ht="18" customHeight="1" x14ac:dyDescent="0.35">
      <c r="A3105" s="274" t="e">
        <f>MATCH(B3105,STUDIES!$A$3:$A$502,0)</f>
        <v>#N/A</v>
      </c>
      <c r="F3105" s="155">
        <f>_xlfn.XLOOKUP(B3105,STUDIES!$A$3:$A$1063,STUDIES!$G$3:$G$1063,"Not Found!")</f>
        <v>0</v>
      </c>
    </row>
    <row r="3106" spans="1:6" ht="18" customHeight="1" x14ac:dyDescent="0.35">
      <c r="A3106" s="274" t="e">
        <f>MATCH(B3106,STUDIES!$A$3:$A$502,0)</f>
        <v>#N/A</v>
      </c>
      <c r="F3106" s="155">
        <f>_xlfn.XLOOKUP(B3106,STUDIES!$A$3:$A$1063,STUDIES!$G$3:$G$1063,"Not Found!")</f>
        <v>0</v>
      </c>
    </row>
    <row r="3107" spans="1:6" ht="18" customHeight="1" x14ac:dyDescent="0.35">
      <c r="A3107" s="274" t="e">
        <f>MATCH(B3107,STUDIES!$A$3:$A$502,0)</f>
        <v>#N/A</v>
      </c>
      <c r="F3107" s="155">
        <f>_xlfn.XLOOKUP(B3107,STUDIES!$A$3:$A$1063,STUDIES!$G$3:$G$1063,"Not Found!")</f>
        <v>0</v>
      </c>
    </row>
    <row r="3108" spans="1:6" ht="18" customHeight="1" x14ac:dyDescent="0.35">
      <c r="A3108" s="274" t="e">
        <f>MATCH(B3108,STUDIES!$A$3:$A$502,0)</f>
        <v>#N/A</v>
      </c>
      <c r="F3108" s="155">
        <f>_xlfn.XLOOKUP(B3108,STUDIES!$A$3:$A$1063,STUDIES!$G$3:$G$1063,"Not Found!")</f>
        <v>0</v>
      </c>
    </row>
    <row r="3109" spans="1:6" ht="18" customHeight="1" x14ac:dyDescent="0.35">
      <c r="A3109" s="274" t="e">
        <f>MATCH(B3109,STUDIES!$A$3:$A$502,0)</f>
        <v>#N/A</v>
      </c>
      <c r="F3109" s="155">
        <f>_xlfn.XLOOKUP(B3109,STUDIES!$A$3:$A$1063,STUDIES!$G$3:$G$1063,"Not Found!")</f>
        <v>0</v>
      </c>
    </row>
    <row r="3110" spans="1:6" ht="18" customHeight="1" x14ac:dyDescent="0.35">
      <c r="A3110" s="274" t="e">
        <f>MATCH(B3110,STUDIES!$A$3:$A$502,0)</f>
        <v>#N/A</v>
      </c>
      <c r="F3110" s="155">
        <f>_xlfn.XLOOKUP(B3110,STUDIES!$A$3:$A$1063,STUDIES!$G$3:$G$1063,"Not Found!")</f>
        <v>0</v>
      </c>
    </row>
    <row r="3111" spans="1:6" ht="18" customHeight="1" x14ac:dyDescent="0.35">
      <c r="A3111" s="274" t="e">
        <f>MATCH(B3111,STUDIES!$A$3:$A$502,0)</f>
        <v>#N/A</v>
      </c>
      <c r="F3111" s="155">
        <f>_xlfn.XLOOKUP(B3111,STUDIES!$A$3:$A$1063,STUDIES!$G$3:$G$1063,"Not Found!")</f>
        <v>0</v>
      </c>
    </row>
    <row r="3112" spans="1:6" ht="18" customHeight="1" x14ac:dyDescent="0.35">
      <c r="A3112" s="274" t="e">
        <f>MATCH(B3112,STUDIES!$A$3:$A$502,0)</f>
        <v>#N/A</v>
      </c>
      <c r="F3112" s="155">
        <f>_xlfn.XLOOKUP(B3112,STUDIES!$A$3:$A$1063,STUDIES!$G$3:$G$1063,"Not Found!")</f>
        <v>0</v>
      </c>
    </row>
    <row r="3113" spans="1:6" ht="18" customHeight="1" x14ac:dyDescent="0.35">
      <c r="A3113" s="274" t="e">
        <f>MATCH(B3113,STUDIES!$A$3:$A$502,0)</f>
        <v>#N/A</v>
      </c>
      <c r="F3113" s="155">
        <f>_xlfn.XLOOKUP(B3113,STUDIES!$A$3:$A$1063,STUDIES!$G$3:$G$1063,"Not Found!")</f>
        <v>0</v>
      </c>
    </row>
    <row r="3114" spans="1:6" ht="18" customHeight="1" x14ac:dyDescent="0.35">
      <c r="A3114" s="274" t="e">
        <f>MATCH(B3114,STUDIES!$A$3:$A$502,0)</f>
        <v>#N/A</v>
      </c>
      <c r="F3114" s="155">
        <f>_xlfn.XLOOKUP(B3114,STUDIES!$A$3:$A$1063,STUDIES!$G$3:$G$1063,"Not Found!")</f>
        <v>0</v>
      </c>
    </row>
    <row r="3115" spans="1:6" ht="18" customHeight="1" x14ac:dyDescent="0.35">
      <c r="A3115" s="274" t="e">
        <f>MATCH(B3115,STUDIES!$A$3:$A$502,0)</f>
        <v>#N/A</v>
      </c>
      <c r="F3115" s="155">
        <f>_xlfn.XLOOKUP(B3115,STUDIES!$A$3:$A$1063,STUDIES!$G$3:$G$1063,"Not Found!")</f>
        <v>0</v>
      </c>
    </row>
    <row r="3116" spans="1:6" ht="18" customHeight="1" x14ac:dyDescent="0.35">
      <c r="A3116" s="274" t="e">
        <f>MATCH(B3116,STUDIES!$A$3:$A$502,0)</f>
        <v>#N/A</v>
      </c>
      <c r="F3116" s="155">
        <f>_xlfn.XLOOKUP(B3116,STUDIES!$A$3:$A$1063,STUDIES!$G$3:$G$1063,"Not Found!")</f>
        <v>0</v>
      </c>
    </row>
    <row r="3117" spans="1:6" ht="18" customHeight="1" x14ac:dyDescent="0.35">
      <c r="A3117" s="274" t="e">
        <f>MATCH(B3117,STUDIES!$A$3:$A$502,0)</f>
        <v>#N/A</v>
      </c>
      <c r="F3117" s="155">
        <f>_xlfn.XLOOKUP(B3117,STUDIES!$A$3:$A$1063,STUDIES!$G$3:$G$1063,"Not Found!")</f>
        <v>0</v>
      </c>
    </row>
    <row r="3118" spans="1:6" ht="18" customHeight="1" x14ac:dyDescent="0.35">
      <c r="A3118" s="274" t="e">
        <f>MATCH(B3118,STUDIES!$A$3:$A$502,0)</f>
        <v>#N/A</v>
      </c>
      <c r="F3118" s="155">
        <f>_xlfn.XLOOKUP(B3118,STUDIES!$A$3:$A$1063,STUDIES!$G$3:$G$1063,"Not Found!")</f>
        <v>0</v>
      </c>
    </row>
    <row r="3119" spans="1:6" ht="18" customHeight="1" x14ac:dyDescent="0.35">
      <c r="A3119" s="274" t="e">
        <f>MATCH(B3119,STUDIES!$A$3:$A$502,0)</f>
        <v>#N/A</v>
      </c>
      <c r="F3119" s="155">
        <f>_xlfn.XLOOKUP(B3119,STUDIES!$A$3:$A$1063,STUDIES!$G$3:$G$1063,"Not Found!")</f>
        <v>0</v>
      </c>
    </row>
    <row r="3120" spans="1:6" ht="18" customHeight="1" x14ac:dyDescent="0.35">
      <c r="A3120" s="274" t="e">
        <f>MATCH(B3120,STUDIES!$A$3:$A$502,0)</f>
        <v>#N/A</v>
      </c>
      <c r="F3120" s="155">
        <f>_xlfn.XLOOKUP(B3120,STUDIES!$A$3:$A$1063,STUDIES!$G$3:$G$1063,"Not Found!")</f>
        <v>0</v>
      </c>
    </row>
    <row r="3121" spans="1:6" ht="18" customHeight="1" x14ac:dyDescent="0.35">
      <c r="A3121" s="274" t="e">
        <f>MATCH(B3121,STUDIES!$A$3:$A$502,0)</f>
        <v>#N/A</v>
      </c>
      <c r="F3121" s="155">
        <f>_xlfn.XLOOKUP(B3121,STUDIES!$A$3:$A$1063,STUDIES!$G$3:$G$1063,"Not Found!")</f>
        <v>0</v>
      </c>
    </row>
    <row r="3122" spans="1:6" ht="18" customHeight="1" x14ac:dyDescent="0.35">
      <c r="A3122" s="274" t="e">
        <f>MATCH(B3122,STUDIES!$A$3:$A$502,0)</f>
        <v>#N/A</v>
      </c>
      <c r="F3122" s="155">
        <f>_xlfn.XLOOKUP(B3122,STUDIES!$A$3:$A$1063,STUDIES!$G$3:$G$1063,"Not Found!")</f>
        <v>0</v>
      </c>
    </row>
    <row r="3123" spans="1:6" ht="18" customHeight="1" x14ac:dyDescent="0.35">
      <c r="A3123" s="274" t="e">
        <f>MATCH(B3123,STUDIES!$A$3:$A$502,0)</f>
        <v>#N/A</v>
      </c>
      <c r="F3123" s="155">
        <f>_xlfn.XLOOKUP(B3123,STUDIES!$A$3:$A$1063,STUDIES!$G$3:$G$1063,"Not Found!")</f>
        <v>0</v>
      </c>
    </row>
    <row r="3124" spans="1:6" ht="18" customHeight="1" x14ac:dyDescent="0.35">
      <c r="A3124" s="274" t="e">
        <f>MATCH(B3124,STUDIES!$A$3:$A$502,0)</f>
        <v>#N/A</v>
      </c>
      <c r="F3124" s="155">
        <f>_xlfn.XLOOKUP(B3124,STUDIES!$A$3:$A$1063,STUDIES!$G$3:$G$1063,"Not Found!")</f>
        <v>0</v>
      </c>
    </row>
    <row r="3125" spans="1:6" ht="18" customHeight="1" x14ac:dyDescent="0.35">
      <c r="A3125" s="274" t="e">
        <f>MATCH(B3125,STUDIES!$A$3:$A$502,0)</f>
        <v>#N/A</v>
      </c>
      <c r="F3125" s="155">
        <f>_xlfn.XLOOKUP(B3125,STUDIES!$A$3:$A$1063,STUDIES!$G$3:$G$1063,"Not Found!")</f>
        <v>0</v>
      </c>
    </row>
    <row r="3126" spans="1:6" ht="18" customHeight="1" x14ac:dyDescent="0.35">
      <c r="A3126" s="274" t="e">
        <f>MATCH(B3126,STUDIES!$A$3:$A$502,0)</f>
        <v>#N/A</v>
      </c>
      <c r="F3126" s="155">
        <f>_xlfn.XLOOKUP(B3126,STUDIES!$A$3:$A$1063,STUDIES!$G$3:$G$1063,"Not Found!")</f>
        <v>0</v>
      </c>
    </row>
    <row r="3127" spans="1:6" ht="18" customHeight="1" x14ac:dyDescent="0.35">
      <c r="A3127" s="274" t="e">
        <f>MATCH(B3127,STUDIES!$A$3:$A$502,0)</f>
        <v>#N/A</v>
      </c>
      <c r="F3127" s="155">
        <f>_xlfn.XLOOKUP(B3127,STUDIES!$A$3:$A$1063,STUDIES!$G$3:$G$1063,"Not Found!")</f>
        <v>0</v>
      </c>
    </row>
    <row r="3128" spans="1:6" ht="18" customHeight="1" x14ac:dyDescent="0.35">
      <c r="A3128" s="274" t="e">
        <f>MATCH(B3128,STUDIES!$A$3:$A$502,0)</f>
        <v>#N/A</v>
      </c>
      <c r="F3128" s="155">
        <f>_xlfn.XLOOKUP(B3128,STUDIES!$A$3:$A$1063,STUDIES!$G$3:$G$1063,"Not Found!")</f>
        <v>0</v>
      </c>
    </row>
    <row r="3129" spans="1:6" ht="18" customHeight="1" x14ac:dyDescent="0.35">
      <c r="A3129" s="274" t="e">
        <f>MATCH(B3129,STUDIES!$A$3:$A$502,0)</f>
        <v>#N/A</v>
      </c>
      <c r="F3129" s="155">
        <f>_xlfn.XLOOKUP(B3129,STUDIES!$A$3:$A$1063,STUDIES!$G$3:$G$1063,"Not Found!")</f>
        <v>0</v>
      </c>
    </row>
    <row r="3130" spans="1:6" ht="18" customHeight="1" x14ac:dyDescent="0.35">
      <c r="A3130" s="274" t="e">
        <f>MATCH(B3130,STUDIES!$A$3:$A$502,0)</f>
        <v>#N/A</v>
      </c>
      <c r="F3130" s="155">
        <f>_xlfn.XLOOKUP(B3130,STUDIES!$A$3:$A$1063,STUDIES!$G$3:$G$1063,"Not Found!")</f>
        <v>0</v>
      </c>
    </row>
    <row r="3131" spans="1:6" ht="18" customHeight="1" x14ac:dyDescent="0.35">
      <c r="A3131" s="274" t="e">
        <f>MATCH(B3131,STUDIES!$A$3:$A$502,0)</f>
        <v>#N/A</v>
      </c>
      <c r="F3131" s="155">
        <f>_xlfn.XLOOKUP(B3131,STUDIES!$A$3:$A$1063,STUDIES!$G$3:$G$1063,"Not Found!")</f>
        <v>0</v>
      </c>
    </row>
    <row r="3132" spans="1:6" ht="18" customHeight="1" x14ac:dyDescent="0.35">
      <c r="A3132" s="274" t="e">
        <f>MATCH(B3132,STUDIES!$A$3:$A$502,0)</f>
        <v>#N/A</v>
      </c>
      <c r="F3132" s="155">
        <f>_xlfn.XLOOKUP(B3132,STUDIES!$A$3:$A$1063,STUDIES!$G$3:$G$1063,"Not Found!")</f>
        <v>0</v>
      </c>
    </row>
    <row r="3133" spans="1:6" ht="18" customHeight="1" x14ac:dyDescent="0.35">
      <c r="A3133" s="274" t="e">
        <f>MATCH(B3133,STUDIES!$A$3:$A$502,0)</f>
        <v>#N/A</v>
      </c>
      <c r="F3133" s="155">
        <f>_xlfn.XLOOKUP(B3133,STUDIES!$A$3:$A$1063,STUDIES!$G$3:$G$1063,"Not Found!")</f>
        <v>0</v>
      </c>
    </row>
    <row r="3134" spans="1:6" ht="18" customHeight="1" x14ac:dyDescent="0.35">
      <c r="A3134" s="274" t="e">
        <f>MATCH(B3134,STUDIES!$A$3:$A$502,0)</f>
        <v>#N/A</v>
      </c>
      <c r="F3134" s="155">
        <f>_xlfn.XLOOKUP(B3134,STUDIES!$A$3:$A$1063,STUDIES!$G$3:$G$1063,"Not Found!")</f>
        <v>0</v>
      </c>
    </row>
    <row r="3135" spans="1:6" ht="18" customHeight="1" x14ac:dyDescent="0.35">
      <c r="A3135" s="274" t="e">
        <f>MATCH(B3135,STUDIES!$A$3:$A$502,0)</f>
        <v>#N/A</v>
      </c>
      <c r="F3135" s="155">
        <f>_xlfn.XLOOKUP(B3135,STUDIES!$A$3:$A$1063,STUDIES!$G$3:$G$1063,"Not Found!")</f>
        <v>0</v>
      </c>
    </row>
    <row r="3136" spans="1:6" ht="18" customHeight="1" x14ac:dyDescent="0.35">
      <c r="A3136" s="274" t="e">
        <f>MATCH(B3136,STUDIES!$A$3:$A$502,0)</f>
        <v>#N/A</v>
      </c>
      <c r="F3136" s="155">
        <f>_xlfn.XLOOKUP(B3136,STUDIES!$A$3:$A$1063,STUDIES!$G$3:$G$1063,"Not Found!")</f>
        <v>0</v>
      </c>
    </row>
    <row r="3137" spans="1:6" ht="18" customHeight="1" x14ac:dyDescent="0.35">
      <c r="A3137" s="274" t="e">
        <f>MATCH(B3137,STUDIES!$A$3:$A$502,0)</f>
        <v>#N/A</v>
      </c>
      <c r="F3137" s="155">
        <f>_xlfn.XLOOKUP(B3137,STUDIES!$A$3:$A$1063,STUDIES!$G$3:$G$1063,"Not Found!")</f>
        <v>0</v>
      </c>
    </row>
    <row r="3138" spans="1:6" ht="18" customHeight="1" x14ac:dyDescent="0.35">
      <c r="A3138" s="274" t="e">
        <f>MATCH(B3138,STUDIES!$A$3:$A$502,0)</f>
        <v>#N/A</v>
      </c>
      <c r="F3138" s="155">
        <f>_xlfn.XLOOKUP(B3138,STUDIES!$A$3:$A$1063,STUDIES!$G$3:$G$1063,"Not Found!")</f>
        <v>0</v>
      </c>
    </row>
    <row r="3139" spans="1:6" ht="18" customHeight="1" x14ac:dyDescent="0.35">
      <c r="A3139" s="274" t="e">
        <f>MATCH(B3139,STUDIES!$A$3:$A$502,0)</f>
        <v>#N/A</v>
      </c>
      <c r="F3139" s="155">
        <f>_xlfn.XLOOKUP(B3139,STUDIES!$A$3:$A$1063,STUDIES!$G$3:$G$1063,"Not Found!")</f>
        <v>0</v>
      </c>
    </row>
    <row r="3140" spans="1:6" ht="18" customHeight="1" x14ac:dyDescent="0.35">
      <c r="A3140" s="274" t="e">
        <f>MATCH(B3140,STUDIES!$A$3:$A$502,0)</f>
        <v>#N/A</v>
      </c>
      <c r="F3140" s="155">
        <f>_xlfn.XLOOKUP(B3140,STUDIES!$A$3:$A$1063,STUDIES!$G$3:$G$1063,"Not Found!")</f>
        <v>0</v>
      </c>
    </row>
    <row r="3141" spans="1:6" ht="18" customHeight="1" x14ac:dyDescent="0.35">
      <c r="A3141" s="274" t="e">
        <f>MATCH(B3141,STUDIES!$A$3:$A$502,0)</f>
        <v>#N/A</v>
      </c>
      <c r="F3141" s="155">
        <f>_xlfn.XLOOKUP(B3141,STUDIES!$A$3:$A$1063,STUDIES!$G$3:$G$1063,"Not Found!")</f>
        <v>0</v>
      </c>
    </row>
    <row r="3142" spans="1:6" ht="18" customHeight="1" x14ac:dyDescent="0.35">
      <c r="A3142" s="274" t="e">
        <f>MATCH(B3142,STUDIES!$A$3:$A$502,0)</f>
        <v>#N/A</v>
      </c>
      <c r="F3142" s="155">
        <f>_xlfn.XLOOKUP(B3142,STUDIES!$A$3:$A$1063,STUDIES!$G$3:$G$1063,"Not Found!")</f>
        <v>0</v>
      </c>
    </row>
    <row r="3143" spans="1:6" ht="18" customHeight="1" x14ac:dyDescent="0.35">
      <c r="A3143" s="274" t="e">
        <f>MATCH(B3143,STUDIES!$A$3:$A$502,0)</f>
        <v>#N/A</v>
      </c>
      <c r="F3143" s="155">
        <f>_xlfn.XLOOKUP(B3143,STUDIES!$A$3:$A$1063,STUDIES!$G$3:$G$1063,"Not Found!")</f>
        <v>0</v>
      </c>
    </row>
    <row r="3144" spans="1:6" ht="18" customHeight="1" x14ac:dyDescent="0.35">
      <c r="A3144" s="274" t="e">
        <f>MATCH(B3144,STUDIES!$A$3:$A$502,0)</f>
        <v>#N/A</v>
      </c>
      <c r="F3144" s="155">
        <f>_xlfn.XLOOKUP(B3144,STUDIES!$A$3:$A$1063,STUDIES!$G$3:$G$1063,"Not Found!")</f>
        <v>0</v>
      </c>
    </row>
    <row r="3145" spans="1:6" ht="18" customHeight="1" x14ac:dyDescent="0.35">
      <c r="A3145" s="274" t="e">
        <f>MATCH(B3145,STUDIES!$A$3:$A$502,0)</f>
        <v>#N/A</v>
      </c>
      <c r="F3145" s="155">
        <f>_xlfn.XLOOKUP(B3145,STUDIES!$A$3:$A$1063,STUDIES!$G$3:$G$1063,"Not Found!")</f>
        <v>0</v>
      </c>
    </row>
    <row r="3146" spans="1:6" ht="18" customHeight="1" x14ac:dyDescent="0.35">
      <c r="A3146" s="274" t="e">
        <f>MATCH(B3146,STUDIES!$A$3:$A$502,0)</f>
        <v>#N/A</v>
      </c>
      <c r="F3146" s="155">
        <f>_xlfn.XLOOKUP(B3146,STUDIES!$A$3:$A$1063,STUDIES!$G$3:$G$1063,"Not Found!")</f>
        <v>0</v>
      </c>
    </row>
    <row r="3147" spans="1:6" ht="18" customHeight="1" x14ac:dyDescent="0.35">
      <c r="A3147" s="274" t="e">
        <f>MATCH(B3147,STUDIES!$A$3:$A$502,0)</f>
        <v>#N/A</v>
      </c>
      <c r="F3147" s="155">
        <f>_xlfn.XLOOKUP(B3147,STUDIES!$A$3:$A$1063,STUDIES!$G$3:$G$1063,"Not Found!")</f>
        <v>0</v>
      </c>
    </row>
    <row r="3148" spans="1:6" ht="18" customHeight="1" x14ac:dyDescent="0.35">
      <c r="A3148" s="274" t="e">
        <f>MATCH(B3148,STUDIES!$A$3:$A$502,0)</f>
        <v>#N/A</v>
      </c>
      <c r="F3148" s="155">
        <f>_xlfn.XLOOKUP(B3148,STUDIES!$A$3:$A$1063,STUDIES!$G$3:$G$1063,"Not Found!")</f>
        <v>0</v>
      </c>
    </row>
    <row r="3149" spans="1:6" ht="18" customHeight="1" x14ac:dyDescent="0.35">
      <c r="A3149" s="274" t="e">
        <f>MATCH(B3149,STUDIES!$A$3:$A$502,0)</f>
        <v>#N/A</v>
      </c>
      <c r="F3149" s="155">
        <f>_xlfn.XLOOKUP(B3149,STUDIES!$A$3:$A$1063,STUDIES!$G$3:$G$1063,"Not Found!")</f>
        <v>0</v>
      </c>
    </row>
    <row r="3150" spans="1:6" ht="18" customHeight="1" x14ac:dyDescent="0.35">
      <c r="A3150" s="274" t="e">
        <f>MATCH(B3150,STUDIES!$A$3:$A$502,0)</f>
        <v>#N/A</v>
      </c>
      <c r="F3150" s="155">
        <f>_xlfn.XLOOKUP(B3150,STUDIES!$A$3:$A$1063,STUDIES!$G$3:$G$1063,"Not Found!")</f>
        <v>0</v>
      </c>
    </row>
    <row r="3151" spans="1:6" ht="18" customHeight="1" x14ac:dyDescent="0.35">
      <c r="A3151" s="274" t="e">
        <f>MATCH(B3151,STUDIES!$A$3:$A$502,0)</f>
        <v>#N/A</v>
      </c>
      <c r="F3151" s="155">
        <f>_xlfn.XLOOKUP(B3151,STUDIES!$A$3:$A$1063,STUDIES!$G$3:$G$1063,"Not Found!")</f>
        <v>0</v>
      </c>
    </row>
    <row r="3152" spans="1:6" ht="18" customHeight="1" x14ac:dyDescent="0.35">
      <c r="A3152" s="274" t="e">
        <f>MATCH(B3152,STUDIES!$A$3:$A$502,0)</f>
        <v>#N/A</v>
      </c>
      <c r="F3152" s="155">
        <f>_xlfn.XLOOKUP(B3152,STUDIES!$A$3:$A$1063,STUDIES!$G$3:$G$1063,"Not Found!")</f>
        <v>0</v>
      </c>
    </row>
    <row r="3153" spans="1:6" ht="18" customHeight="1" x14ac:dyDescent="0.35">
      <c r="A3153" s="274" t="e">
        <f>MATCH(B3153,STUDIES!$A$3:$A$502,0)</f>
        <v>#N/A</v>
      </c>
      <c r="F3153" s="155">
        <f>_xlfn.XLOOKUP(B3153,STUDIES!$A$3:$A$1063,STUDIES!$G$3:$G$1063,"Not Found!")</f>
        <v>0</v>
      </c>
    </row>
    <row r="3154" spans="1:6" ht="18" customHeight="1" x14ac:dyDescent="0.35">
      <c r="A3154" s="274" t="e">
        <f>MATCH(B3154,STUDIES!$A$3:$A$502,0)</f>
        <v>#N/A</v>
      </c>
      <c r="F3154" s="155">
        <f>_xlfn.XLOOKUP(B3154,STUDIES!$A$3:$A$1063,STUDIES!$G$3:$G$1063,"Not Found!")</f>
        <v>0</v>
      </c>
    </row>
    <row r="3155" spans="1:6" ht="18" customHeight="1" x14ac:dyDescent="0.35">
      <c r="A3155" s="274" t="e">
        <f>MATCH(B3155,STUDIES!$A$3:$A$502,0)</f>
        <v>#N/A</v>
      </c>
      <c r="F3155" s="155">
        <f>_xlfn.XLOOKUP(B3155,STUDIES!$A$3:$A$1063,STUDIES!$G$3:$G$1063,"Not Found!")</f>
        <v>0</v>
      </c>
    </row>
    <row r="3156" spans="1:6" ht="18" customHeight="1" x14ac:dyDescent="0.35">
      <c r="A3156" s="274" t="e">
        <f>MATCH(B3156,STUDIES!$A$3:$A$502,0)</f>
        <v>#N/A</v>
      </c>
      <c r="F3156" s="155">
        <f>_xlfn.XLOOKUP(B3156,STUDIES!$A$3:$A$1063,STUDIES!$G$3:$G$1063,"Not Found!")</f>
        <v>0</v>
      </c>
    </row>
    <row r="3157" spans="1:6" ht="18" customHeight="1" x14ac:dyDescent="0.35">
      <c r="A3157" s="274" t="e">
        <f>MATCH(B3157,STUDIES!$A$3:$A$502,0)</f>
        <v>#N/A</v>
      </c>
      <c r="F3157" s="155">
        <f>_xlfn.XLOOKUP(B3157,STUDIES!$A$3:$A$1063,STUDIES!$G$3:$G$1063,"Not Found!")</f>
        <v>0</v>
      </c>
    </row>
    <row r="3158" spans="1:6" ht="18" customHeight="1" x14ac:dyDescent="0.35">
      <c r="A3158" s="274" t="e">
        <f>MATCH(B3158,STUDIES!$A$3:$A$502,0)</f>
        <v>#N/A</v>
      </c>
      <c r="F3158" s="155">
        <f>_xlfn.XLOOKUP(B3158,STUDIES!$A$3:$A$1063,STUDIES!$G$3:$G$1063,"Not Found!")</f>
        <v>0</v>
      </c>
    </row>
    <row r="3159" spans="1:6" ht="18" customHeight="1" x14ac:dyDescent="0.35">
      <c r="A3159" s="274" t="e">
        <f>MATCH(B3159,STUDIES!$A$3:$A$502,0)</f>
        <v>#N/A</v>
      </c>
      <c r="F3159" s="155">
        <f>_xlfn.XLOOKUP(B3159,STUDIES!$A$3:$A$1063,STUDIES!$G$3:$G$1063,"Not Found!")</f>
        <v>0</v>
      </c>
    </row>
    <row r="3160" spans="1:6" ht="18" customHeight="1" x14ac:dyDescent="0.35">
      <c r="A3160" s="274" t="e">
        <f>MATCH(B3160,STUDIES!$A$3:$A$502,0)</f>
        <v>#N/A</v>
      </c>
      <c r="F3160" s="155">
        <f>_xlfn.XLOOKUP(B3160,STUDIES!$A$3:$A$1063,STUDIES!$G$3:$G$1063,"Not Found!")</f>
        <v>0</v>
      </c>
    </row>
    <row r="3161" spans="1:6" ht="18" customHeight="1" x14ac:dyDescent="0.35">
      <c r="A3161" s="274" t="e">
        <f>MATCH(B3161,STUDIES!$A$3:$A$502,0)</f>
        <v>#N/A</v>
      </c>
      <c r="F3161" s="155">
        <f>_xlfn.XLOOKUP(B3161,STUDIES!$A$3:$A$1063,STUDIES!$G$3:$G$1063,"Not Found!")</f>
        <v>0</v>
      </c>
    </row>
    <row r="3162" spans="1:6" ht="18" customHeight="1" x14ac:dyDescent="0.35">
      <c r="A3162" s="274" t="e">
        <f>MATCH(B3162,STUDIES!$A$3:$A$502,0)</f>
        <v>#N/A</v>
      </c>
      <c r="F3162" s="155">
        <f>_xlfn.XLOOKUP(B3162,STUDIES!$A$3:$A$1063,STUDIES!$G$3:$G$1063,"Not Found!")</f>
        <v>0</v>
      </c>
    </row>
    <row r="3163" spans="1:6" ht="18" customHeight="1" x14ac:dyDescent="0.35">
      <c r="A3163" s="274" t="e">
        <f>MATCH(B3163,STUDIES!$A$3:$A$502,0)</f>
        <v>#N/A</v>
      </c>
      <c r="F3163" s="155">
        <f>_xlfn.XLOOKUP(B3163,STUDIES!$A$3:$A$1063,STUDIES!$G$3:$G$1063,"Not Found!")</f>
        <v>0</v>
      </c>
    </row>
    <row r="3164" spans="1:6" ht="18" customHeight="1" x14ac:dyDescent="0.35">
      <c r="A3164" s="274" t="e">
        <f>MATCH(B3164,STUDIES!$A$3:$A$502,0)</f>
        <v>#N/A</v>
      </c>
      <c r="F3164" s="155">
        <f>_xlfn.XLOOKUP(B3164,STUDIES!$A$3:$A$1063,STUDIES!$G$3:$G$1063,"Not Found!")</f>
        <v>0</v>
      </c>
    </row>
    <row r="3165" spans="1:6" ht="18" customHeight="1" x14ac:dyDescent="0.35">
      <c r="A3165" s="274" t="e">
        <f>MATCH(B3165,STUDIES!$A$3:$A$502,0)</f>
        <v>#N/A</v>
      </c>
      <c r="F3165" s="155">
        <f>_xlfn.XLOOKUP(B3165,STUDIES!$A$3:$A$1063,STUDIES!$G$3:$G$1063,"Not Found!")</f>
        <v>0</v>
      </c>
    </row>
    <row r="3166" spans="1:6" ht="18" customHeight="1" x14ac:dyDescent="0.35">
      <c r="A3166" s="274" t="e">
        <f>MATCH(B3166,STUDIES!$A$3:$A$502,0)</f>
        <v>#N/A</v>
      </c>
      <c r="F3166" s="155">
        <f>_xlfn.XLOOKUP(B3166,STUDIES!$A$3:$A$1063,STUDIES!$G$3:$G$1063,"Not Found!")</f>
        <v>0</v>
      </c>
    </row>
    <row r="3167" spans="1:6" ht="18" customHeight="1" x14ac:dyDescent="0.35">
      <c r="A3167" s="274" t="e">
        <f>MATCH(B3167,STUDIES!$A$3:$A$502,0)</f>
        <v>#N/A</v>
      </c>
      <c r="F3167" s="155">
        <f>_xlfn.XLOOKUP(B3167,STUDIES!$A$3:$A$1063,STUDIES!$G$3:$G$1063,"Not Found!")</f>
        <v>0</v>
      </c>
    </row>
    <row r="3168" spans="1:6" ht="18" customHeight="1" x14ac:dyDescent="0.35">
      <c r="A3168" s="274" t="e">
        <f>MATCH(B3168,STUDIES!$A$3:$A$502,0)</f>
        <v>#N/A</v>
      </c>
      <c r="F3168" s="155">
        <f>_xlfn.XLOOKUP(B3168,STUDIES!$A$3:$A$1063,STUDIES!$G$3:$G$1063,"Not Found!")</f>
        <v>0</v>
      </c>
    </row>
    <row r="3169" spans="1:6" ht="18" customHeight="1" x14ac:dyDescent="0.35">
      <c r="A3169" s="274" t="e">
        <f>MATCH(B3169,STUDIES!$A$3:$A$502,0)</f>
        <v>#N/A</v>
      </c>
      <c r="F3169" s="155">
        <f>_xlfn.XLOOKUP(B3169,STUDIES!$A$3:$A$1063,STUDIES!$G$3:$G$1063,"Not Found!")</f>
        <v>0</v>
      </c>
    </row>
    <row r="3170" spans="1:6" ht="18" customHeight="1" x14ac:dyDescent="0.35">
      <c r="A3170" s="274" t="e">
        <f>MATCH(B3170,STUDIES!$A$3:$A$502,0)</f>
        <v>#N/A</v>
      </c>
      <c r="F3170" s="155">
        <f>_xlfn.XLOOKUP(B3170,STUDIES!$A$3:$A$1063,STUDIES!$G$3:$G$1063,"Not Found!")</f>
        <v>0</v>
      </c>
    </row>
    <row r="3171" spans="1:6" ht="18" customHeight="1" x14ac:dyDescent="0.35">
      <c r="A3171" s="274" t="e">
        <f>MATCH(B3171,STUDIES!$A$3:$A$502,0)</f>
        <v>#N/A</v>
      </c>
      <c r="F3171" s="155">
        <f>_xlfn.XLOOKUP(B3171,STUDIES!$A$3:$A$1063,STUDIES!$G$3:$G$1063,"Not Found!")</f>
        <v>0</v>
      </c>
    </row>
    <row r="3172" spans="1:6" ht="18" customHeight="1" x14ac:dyDescent="0.35">
      <c r="A3172" s="274" t="e">
        <f>MATCH(B3172,STUDIES!$A$3:$A$502,0)</f>
        <v>#N/A</v>
      </c>
      <c r="F3172" s="155">
        <f>_xlfn.XLOOKUP(B3172,STUDIES!$A$3:$A$1063,STUDIES!$G$3:$G$1063,"Not Found!")</f>
        <v>0</v>
      </c>
    </row>
    <row r="3173" spans="1:6" ht="18" customHeight="1" x14ac:dyDescent="0.35">
      <c r="A3173" s="274" t="e">
        <f>MATCH(B3173,STUDIES!$A$3:$A$502,0)</f>
        <v>#N/A</v>
      </c>
      <c r="F3173" s="155">
        <f>_xlfn.XLOOKUP(B3173,STUDIES!$A$3:$A$1063,STUDIES!$G$3:$G$1063,"Not Found!")</f>
        <v>0</v>
      </c>
    </row>
    <row r="3174" spans="1:6" ht="18" customHeight="1" x14ac:dyDescent="0.35">
      <c r="A3174" s="274" t="e">
        <f>MATCH(B3174,STUDIES!$A$3:$A$502,0)</f>
        <v>#N/A</v>
      </c>
      <c r="F3174" s="155">
        <f>_xlfn.XLOOKUP(B3174,STUDIES!$A$3:$A$1063,STUDIES!$G$3:$G$1063,"Not Found!")</f>
        <v>0</v>
      </c>
    </row>
    <row r="3175" spans="1:6" ht="18" customHeight="1" x14ac:dyDescent="0.35">
      <c r="A3175" s="274" t="e">
        <f>MATCH(B3175,STUDIES!$A$3:$A$502,0)</f>
        <v>#N/A</v>
      </c>
      <c r="F3175" s="155">
        <f>_xlfn.XLOOKUP(B3175,STUDIES!$A$3:$A$1063,STUDIES!$G$3:$G$1063,"Not Found!")</f>
        <v>0</v>
      </c>
    </row>
    <row r="3176" spans="1:6" ht="18" customHeight="1" x14ac:dyDescent="0.35">
      <c r="A3176" s="274" t="e">
        <f>MATCH(B3176,STUDIES!$A$3:$A$502,0)</f>
        <v>#N/A</v>
      </c>
      <c r="F3176" s="155">
        <f>_xlfn.XLOOKUP(B3176,STUDIES!$A$3:$A$1063,STUDIES!$G$3:$G$1063,"Not Found!")</f>
        <v>0</v>
      </c>
    </row>
    <row r="3177" spans="1:6" ht="18" customHeight="1" x14ac:dyDescent="0.35">
      <c r="A3177" s="274" t="e">
        <f>MATCH(B3177,STUDIES!$A$3:$A$502,0)</f>
        <v>#N/A</v>
      </c>
      <c r="F3177" s="155">
        <f>_xlfn.XLOOKUP(B3177,STUDIES!$A$3:$A$1063,STUDIES!$G$3:$G$1063,"Not Found!")</f>
        <v>0</v>
      </c>
    </row>
    <row r="3178" spans="1:6" ht="18" customHeight="1" x14ac:dyDescent="0.35">
      <c r="A3178" s="274" t="e">
        <f>MATCH(B3178,STUDIES!$A$3:$A$502,0)</f>
        <v>#N/A</v>
      </c>
      <c r="F3178" s="155">
        <f>_xlfn.XLOOKUP(B3178,STUDIES!$A$3:$A$1063,STUDIES!$G$3:$G$1063,"Not Found!")</f>
        <v>0</v>
      </c>
    </row>
    <row r="3179" spans="1:6" ht="18" customHeight="1" x14ac:dyDescent="0.35">
      <c r="A3179" s="274" t="e">
        <f>MATCH(B3179,STUDIES!$A$3:$A$502,0)</f>
        <v>#N/A</v>
      </c>
      <c r="F3179" s="155">
        <f>_xlfn.XLOOKUP(B3179,STUDIES!$A$3:$A$1063,STUDIES!$G$3:$G$1063,"Not Found!")</f>
        <v>0</v>
      </c>
    </row>
    <row r="3180" spans="1:6" ht="18" customHeight="1" x14ac:dyDescent="0.35">
      <c r="A3180" s="274" t="e">
        <f>MATCH(B3180,STUDIES!$A$3:$A$502,0)</f>
        <v>#N/A</v>
      </c>
      <c r="F3180" s="155">
        <f>_xlfn.XLOOKUP(B3180,STUDIES!$A$3:$A$1063,STUDIES!$G$3:$G$1063,"Not Found!")</f>
        <v>0</v>
      </c>
    </row>
    <row r="3181" spans="1:6" ht="18" customHeight="1" x14ac:dyDescent="0.35">
      <c r="A3181" s="274" t="e">
        <f>MATCH(B3181,STUDIES!$A$3:$A$502,0)</f>
        <v>#N/A</v>
      </c>
      <c r="F3181" s="155">
        <f>_xlfn.XLOOKUP(B3181,STUDIES!$A$3:$A$1063,STUDIES!$G$3:$G$1063,"Not Found!")</f>
        <v>0</v>
      </c>
    </row>
    <row r="3182" spans="1:6" ht="18" customHeight="1" x14ac:dyDescent="0.35">
      <c r="A3182" s="274" t="e">
        <f>MATCH(B3182,STUDIES!$A$3:$A$502,0)</f>
        <v>#N/A</v>
      </c>
      <c r="F3182" s="155">
        <f>_xlfn.XLOOKUP(B3182,STUDIES!$A$3:$A$1063,STUDIES!$G$3:$G$1063,"Not Found!")</f>
        <v>0</v>
      </c>
    </row>
    <row r="3183" spans="1:6" ht="18" customHeight="1" x14ac:dyDescent="0.35">
      <c r="A3183" s="274" t="e">
        <f>MATCH(B3183,STUDIES!$A$3:$A$502,0)</f>
        <v>#N/A</v>
      </c>
      <c r="F3183" s="155">
        <f>_xlfn.XLOOKUP(B3183,STUDIES!$A$3:$A$1063,STUDIES!$G$3:$G$1063,"Not Found!")</f>
        <v>0</v>
      </c>
    </row>
    <row r="3184" spans="1:6" ht="18" customHeight="1" x14ac:dyDescent="0.35">
      <c r="A3184" s="274" t="e">
        <f>MATCH(B3184,STUDIES!$A$3:$A$502,0)</f>
        <v>#N/A</v>
      </c>
      <c r="F3184" s="155">
        <f>_xlfn.XLOOKUP(B3184,STUDIES!$A$3:$A$1063,STUDIES!$G$3:$G$1063,"Not Found!")</f>
        <v>0</v>
      </c>
    </row>
    <row r="3185" spans="1:6" ht="18" customHeight="1" x14ac:dyDescent="0.35">
      <c r="A3185" s="274" t="e">
        <f>MATCH(B3185,STUDIES!$A$3:$A$502,0)</f>
        <v>#N/A</v>
      </c>
      <c r="F3185" s="155">
        <f>_xlfn.XLOOKUP(B3185,STUDIES!$A$3:$A$1063,STUDIES!$G$3:$G$1063,"Not Found!")</f>
        <v>0</v>
      </c>
    </row>
    <row r="3186" spans="1:6" ht="18" customHeight="1" x14ac:dyDescent="0.35">
      <c r="A3186" s="274" t="e">
        <f>MATCH(B3186,STUDIES!$A$3:$A$502,0)</f>
        <v>#N/A</v>
      </c>
      <c r="F3186" s="155">
        <f>_xlfn.XLOOKUP(B3186,STUDIES!$A$3:$A$1063,STUDIES!$G$3:$G$1063,"Not Found!")</f>
        <v>0</v>
      </c>
    </row>
    <row r="3187" spans="1:6" ht="18" customHeight="1" x14ac:dyDescent="0.35">
      <c r="A3187" s="274" t="e">
        <f>MATCH(B3187,STUDIES!$A$3:$A$502,0)</f>
        <v>#N/A</v>
      </c>
      <c r="F3187" s="155">
        <f>_xlfn.XLOOKUP(B3187,STUDIES!$A$3:$A$1063,STUDIES!$G$3:$G$1063,"Not Found!")</f>
        <v>0</v>
      </c>
    </row>
    <row r="3188" spans="1:6" ht="18" customHeight="1" x14ac:dyDescent="0.35">
      <c r="A3188" s="274" t="e">
        <f>MATCH(B3188,STUDIES!$A$3:$A$502,0)</f>
        <v>#N/A</v>
      </c>
      <c r="F3188" s="155">
        <f>_xlfn.XLOOKUP(B3188,STUDIES!$A$3:$A$1063,STUDIES!$G$3:$G$1063,"Not Found!")</f>
        <v>0</v>
      </c>
    </row>
    <row r="3189" spans="1:6" ht="18" customHeight="1" x14ac:dyDescent="0.35">
      <c r="A3189" s="274" t="e">
        <f>MATCH(B3189,STUDIES!$A$3:$A$502,0)</f>
        <v>#N/A</v>
      </c>
      <c r="F3189" s="155">
        <f>_xlfn.XLOOKUP(B3189,STUDIES!$A$3:$A$1063,STUDIES!$G$3:$G$1063,"Not Found!")</f>
        <v>0</v>
      </c>
    </row>
    <row r="3190" spans="1:6" ht="18" customHeight="1" x14ac:dyDescent="0.35">
      <c r="A3190" s="274" t="e">
        <f>MATCH(B3190,STUDIES!$A$3:$A$502,0)</f>
        <v>#N/A</v>
      </c>
      <c r="F3190" s="155">
        <f>_xlfn.XLOOKUP(B3190,STUDIES!$A$3:$A$1063,STUDIES!$G$3:$G$1063,"Not Found!")</f>
        <v>0</v>
      </c>
    </row>
    <row r="3191" spans="1:6" ht="18" customHeight="1" x14ac:dyDescent="0.35">
      <c r="A3191" s="274" t="e">
        <f>MATCH(B3191,STUDIES!$A$3:$A$502,0)</f>
        <v>#N/A</v>
      </c>
      <c r="F3191" s="155">
        <f>_xlfn.XLOOKUP(B3191,STUDIES!$A$3:$A$1063,STUDIES!$G$3:$G$1063,"Not Found!")</f>
        <v>0</v>
      </c>
    </row>
    <row r="3192" spans="1:6" ht="18" customHeight="1" x14ac:dyDescent="0.35">
      <c r="A3192" s="274" t="e">
        <f>MATCH(B3192,STUDIES!$A$3:$A$502,0)</f>
        <v>#N/A</v>
      </c>
      <c r="F3192" s="155">
        <f>_xlfn.XLOOKUP(B3192,STUDIES!$A$3:$A$1063,STUDIES!$G$3:$G$1063,"Not Found!")</f>
        <v>0</v>
      </c>
    </row>
    <row r="3193" spans="1:6" ht="18" customHeight="1" x14ac:dyDescent="0.35">
      <c r="A3193" s="274" t="e">
        <f>MATCH(B3193,STUDIES!$A$3:$A$502,0)</f>
        <v>#N/A</v>
      </c>
      <c r="F3193" s="155">
        <f>_xlfn.XLOOKUP(B3193,STUDIES!$A$3:$A$1063,STUDIES!$G$3:$G$1063,"Not Found!")</f>
        <v>0</v>
      </c>
    </row>
    <row r="3194" spans="1:6" ht="18" customHeight="1" x14ac:dyDescent="0.35">
      <c r="A3194" s="274" t="e">
        <f>MATCH(B3194,STUDIES!$A$3:$A$502,0)</f>
        <v>#N/A</v>
      </c>
      <c r="F3194" s="155">
        <f>_xlfn.XLOOKUP(B3194,STUDIES!$A$3:$A$1063,STUDIES!$G$3:$G$1063,"Not Found!")</f>
        <v>0</v>
      </c>
    </row>
    <row r="3195" spans="1:6" ht="18" customHeight="1" x14ac:dyDescent="0.35">
      <c r="A3195" s="274" t="e">
        <f>MATCH(B3195,STUDIES!$A$3:$A$502,0)</f>
        <v>#N/A</v>
      </c>
      <c r="F3195" s="155">
        <f>_xlfn.XLOOKUP(B3195,STUDIES!$A$3:$A$1063,STUDIES!$G$3:$G$1063,"Not Found!")</f>
        <v>0</v>
      </c>
    </row>
    <row r="3196" spans="1:6" ht="18" customHeight="1" x14ac:dyDescent="0.35">
      <c r="A3196" s="274" t="e">
        <f>MATCH(B3196,STUDIES!$A$3:$A$502,0)</f>
        <v>#N/A</v>
      </c>
      <c r="F3196" s="155">
        <f>_xlfn.XLOOKUP(B3196,STUDIES!$A$3:$A$1063,STUDIES!$G$3:$G$1063,"Not Found!")</f>
        <v>0</v>
      </c>
    </row>
    <row r="3197" spans="1:6" ht="18" customHeight="1" x14ac:dyDescent="0.35">
      <c r="A3197" s="274" t="e">
        <f>MATCH(B3197,STUDIES!$A$3:$A$502,0)</f>
        <v>#N/A</v>
      </c>
      <c r="F3197" s="155">
        <f>_xlfn.XLOOKUP(B3197,STUDIES!$A$3:$A$1063,STUDIES!$G$3:$G$1063,"Not Found!")</f>
        <v>0</v>
      </c>
    </row>
    <row r="3198" spans="1:6" ht="18" customHeight="1" x14ac:dyDescent="0.35">
      <c r="A3198" s="274" t="e">
        <f>MATCH(B3198,STUDIES!$A$3:$A$502,0)</f>
        <v>#N/A</v>
      </c>
      <c r="F3198" s="155">
        <f>_xlfn.XLOOKUP(B3198,STUDIES!$A$3:$A$1063,STUDIES!$G$3:$G$1063,"Not Found!")</f>
        <v>0</v>
      </c>
    </row>
    <row r="3199" spans="1:6" ht="18" customHeight="1" x14ac:dyDescent="0.35">
      <c r="A3199" s="274" t="e">
        <f>MATCH(B3199,STUDIES!$A$3:$A$502,0)</f>
        <v>#N/A</v>
      </c>
      <c r="F3199" s="155">
        <f>_xlfn.XLOOKUP(B3199,STUDIES!$A$3:$A$1063,STUDIES!$G$3:$G$1063,"Not Found!")</f>
        <v>0</v>
      </c>
    </row>
    <row r="3200" spans="1:6" ht="18" customHeight="1" x14ac:dyDescent="0.35">
      <c r="A3200" s="274" t="e">
        <f>MATCH(B3200,STUDIES!$A$3:$A$502,0)</f>
        <v>#N/A</v>
      </c>
      <c r="F3200" s="155">
        <f>_xlfn.XLOOKUP(B3200,STUDIES!$A$3:$A$1063,STUDIES!$G$3:$G$1063,"Not Found!")</f>
        <v>0</v>
      </c>
    </row>
    <row r="3201" spans="1:6" ht="18" customHeight="1" x14ac:dyDescent="0.35">
      <c r="A3201" s="274" t="e">
        <f>MATCH(B3201,STUDIES!$A$3:$A$502,0)</f>
        <v>#N/A</v>
      </c>
      <c r="F3201" s="155">
        <f>_xlfn.XLOOKUP(B3201,STUDIES!$A$3:$A$1063,STUDIES!$G$3:$G$1063,"Not Found!")</f>
        <v>0</v>
      </c>
    </row>
    <row r="3202" spans="1:6" ht="18" customHeight="1" x14ac:dyDescent="0.35">
      <c r="A3202" s="274" t="e">
        <f>MATCH(B3202,STUDIES!$A$3:$A$502,0)</f>
        <v>#N/A</v>
      </c>
      <c r="F3202" s="155">
        <f>_xlfn.XLOOKUP(B3202,STUDIES!$A$3:$A$1063,STUDIES!$G$3:$G$1063,"Not Found!")</f>
        <v>0</v>
      </c>
    </row>
    <row r="3203" spans="1:6" ht="18" customHeight="1" x14ac:dyDescent="0.35">
      <c r="A3203" s="274" t="e">
        <f>MATCH(B3203,STUDIES!$A$3:$A$502,0)</f>
        <v>#N/A</v>
      </c>
      <c r="F3203" s="155">
        <f>_xlfn.XLOOKUP(B3203,STUDIES!$A$3:$A$1063,STUDIES!$G$3:$G$1063,"Not Found!")</f>
        <v>0</v>
      </c>
    </row>
    <row r="3204" spans="1:6" ht="18" customHeight="1" x14ac:dyDescent="0.35">
      <c r="A3204" s="274" t="e">
        <f>MATCH(B3204,STUDIES!$A$3:$A$502,0)</f>
        <v>#N/A</v>
      </c>
      <c r="F3204" s="155">
        <f>_xlfn.XLOOKUP(B3204,STUDIES!$A$3:$A$1063,STUDIES!$G$3:$G$1063,"Not Found!")</f>
        <v>0</v>
      </c>
    </row>
    <row r="3205" spans="1:6" ht="18" customHeight="1" x14ac:dyDescent="0.35">
      <c r="A3205" s="274" t="e">
        <f>MATCH(B3205,STUDIES!$A$3:$A$502,0)</f>
        <v>#N/A</v>
      </c>
      <c r="F3205" s="155">
        <f>_xlfn.XLOOKUP(B3205,STUDIES!$A$3:$A$1063,STUDIES!$G$3:$G$1063,"Not Found!")</f>
        <v>0</v>
      </c>
    </row>
    <row r="3206" spans="1:6" ht="18" customHeight="1" x14ac:dyDescent="0.35">
      <c r="A3206" s="274" t="e">
        <f>MATCH(B3206,STUDIES!$A$3:$A$502,0)</f>
        <v>#N/A</v>
      </c>
      <c r="F3206" s="155">
        <f>_xlfn.XLOOKUP(B3206,STUDIES!$A$3:$A$1063,STUDIES!$G$3:$G$1063,"Not Found!")</f>
        <v>0</v>
      </c>
    </row>
    <row r="3207" spans="1:6" ht="18" customHeight="1" x14ac:dyDescent="0.35">
      <c r="A3207" s="274" t="e">
        <f>MATCH(B3207,STUDIES!$A$3:$A$502,0)</f>
        <v>#N/A</v>
      </c>
      <c r="F3207" s="155">
        <f>_xlfn.XLOOKUP(B3207,STUDIES!$A$3:$A$1063,STUDIES!$G$3:$G$1063,"Not Found!")</f>
        <v>0</v>
      </c>
    </row>
    <row r="3208" spans="1:6" ht="18" customHeight="1" x14ac:dyDescent="0.35">
      <c r="A3208" s="274" t="e">
        <f>MATCH(B3208,STUDIES!$A$3:$A$502,0)</f>
        <v>#N/A</v>
      </c>
      <c r="F3208" s="155">
        <f>_xlfn.XLOOKUP(B3208,STUDIES!$A$3:$A$1063,STUDIES!$G$3:$G$1063,"Not Found!")</f>
        <v>0</v>
      </c>
    </row>
    <row r="3209" spans="1:6" ht="18" customHeight="1" x14ac:dyDescent="0.35">
      <c r="A3209" s="274" t="e">
        <f>MATCH(B3209,STUDIES!$A$3:$A$502,0)</f>
        <v>#N/A</v>
      </c>
      <c r="F3209" s="155">
        <f>_xlfn.XLOOKUP(B3209,STUDIES!$A$3:$A$1063,STUDIES!$G$3:$G$1063,"Not Found!")</f>
        <v>0</v>
      </c>
    </row>
    <row r="3210" spans="1:6" ht="18" customHeight="1" x14ac:dyDescent="0.35">
      <c r="A3210" s="274" t="e">
        <f>MATCH(B3210,STUDIES!$A$3:$A$502,0)</f>
        <v>#N/A</v>
      </c>
      <c r="F3210" s="155">
        <f>_xlfn.XLOOKUP(B3210,STUDIES!$A$3:$A$1063,STUDIES!$G$3:$G$1063,"Not Found!")</f>
        <v>0</v>
      </c>
    </row>
    <row r="3211" spans="1:6" ht="18" customHeight="1" x14ac:dyDescent="0.35">
      <c r="A3211" s="274" t="e">
        <f>MATCH(B3211,STUDIES!$A$3:$A$502,0)</f>
        <v>#N/A</v>
      </c>
      <c r="F3211" s="155">
        <f>_xlfn.XLOOKUP(B3211,STUDIES!$A$3:$A$1063,STUDIES!$G$3:$G$1063,"Not Found!")</f>
        <v>0</v>
      </c>
    </row>
    <row r="3212" spans="1:6" ht="18" customHeight="1" x14ac:dyDescent="0.35">
      <c r="A3212" s="274" t="e">
        <f>MATCH(B3212,STUDIES!$A$3:$A$502,0)</f>
        <v>#N/A</v>
      </c>
      <c r="F3212" s="155">
        <f>_xlfn.XLOOKUP(B3212,STUDIES!$A$3:$A$1063,STUDIES!$G$3:$G$1063,"Not Found!")</f>
        <v>0</v>
      </c>
    </row>
    <row r="3213" spans="1:6" ht="18" customHeight="1" x14ac:dyDescent="0.35">
      <c r="A3213" s="274" t="e">
        <f>MATCH(B3213,STUDIES!$A$3:$A$502,0)</f>
        <v>#N/A</v>
      </c>
      <c r="F3213" s="155">
        <f>_xlfn.XLOOKUP(B3213,STUDIES!$A$3:$A$1063,STUDIES!$G$3:$G$1063,"Not Found!")</f>
        <v>0</v>
      </c>
    </row>
    <row r="3214" spans="1:6" ht="18" customHeight="1" x14ac:dyDescent="0.35">
      <c r="A3214" s="274" t="e">
        <f>MATCH(B3214,STUDIES!$A$3:$A$502,0)</f>
        <v>#N/A</v>
      </c>
      <c r="F3214" s="155">
        <f>_xlfn.XLOOKUP(B3214,STUDIES!$A$3:$A$1063,STUDIES!$G$3:$G$1063,"Not Found!")</f>
        <v>0</v>
      </c>
    </row>
    <row r="3215" spans="1:6" ht="18" customHeight="1" x14ac:dyDescent="0.35">
      <c r="A3215" s="274" t="e">
        <f>MATCH(B3215,STUDIES!$A$3:$A$502,0)</f>
        <v>#N/A</v>
      </c>
      <c r="F3215" s="155">
        <f>_xlfn.XLOOKUP(B3215,STUDIES!$A$3:$A$1063,STUDIES!$G$3:$G$1063,"Not Found!")</f>
        <v>0</v>
      </c>
    </row>
    <row r="3216" spans="1:6" ht="18" customHeight="1" x14ac:dyDescent="0.35">
      <c r="A3216" s="274" t="e">
        <f>MATCH(B3216,STUDIES!$A$3:$A$502,0)</f>
        <v>#N/A</v>
      </c>
      <c r="F3216" s="155">
        <f>_xlfn.XLOOKUP(B3216,STUDIES!$A$3:$A$1063,STUDIES!$G$3:$G$1063,"Not Found!")</f>
        <v>0</v>
      </c>
    </row>
    <row r="3217" spans="1:6" ht="18" customHeight="1" x14ac:dyDescent="0.35">
      <c r="A3217" s="274" t="e">
        <f>MATCH(B3217,STUDIES!$A$3:$A$502,0)</f>
        <v>#N/A</v>
      </c>
      <c r="F3217" s="155">
        <f>_xlfn.XLOOKUP(B3217,STUDIES!$A$3:$A$1063,STUDIES!$G$3:$G$1063,"Not Found!")</f>
        <v>0</v>
      </c>
    </row>
    <row r="3218" spans="1:6" ht="18" customHeight="1" x14ac:dyDescent="0.35">
      <c r="A3218" s="274" t="e">
        <f>MATCH(B3218,STUDIES!$A$3:$A$502,0)</f>
        <v>#N/A</v>
      </c>
      <c r="F3218" s="155">
        <f>_xlfn.XLOOKUP(B3218,STUDIES!$A$3:$A$1063,STUDIES!$G$3:$G$1063,"Not Found!")</f>
        <v>0</v>
      </c>
    </row>
    <row r="3219" spans="1:6" ht="18" customHeight="1" x14ac:dyDescent="0.35">
      <c r="A3219" s="274" t="e">
        <f>MATCH(B3219,STUDIES!$A$3:$A$502,0)</f>
        <v>#N/A</v>
      </c>
      <c r="F3219" s="155">
        <f>_xlfn.XLOOKUP(B3219,STUDIES!$A$3:$A$1063,STUDIES!$G$3:$G$1063,"Not Found!")</f>
        <v>0</v>
      </c>
    </row>
    <row r="3220" spans="1:6" ht="18" customHeight="1" x14ac:dyDescent="0.35">
      <c r="A3220" s="274" t="e">
        <f>MATCH(B3220,STUDIES!$A$3:$A$502,0)</f>
        <v>#N/A</v>
      </c>
      <c r="F3220" s="155">
        <f>_xlfn.XLOOKUP(B3220,STUDIES!$A$3:$A$1063,STUDIES!$G$3:$G$1063,"Not Found!")</f>
        <v>0</v>
      </c>
    </row>
    <row r="3221" spans="1:6" ht="18" customHeight="1" x14ac:dyDescent="0.35">
      <c r="A3221" s="274" t="e">
        <f>MATCH(B3221,STUDIES!$A$3:$A$502,0)</f>
        <v>#N/A</v>
      </c>
      <c r="F3221" s="155">
        <f>_xlfn.XLOOKUP(B3221,STUDIES!$A$3:$A$1063,STUDIES!$G$3:$G$1063,"Not Found!")</f>
        <v>0</v>
      </c>
    </row>
    <row r="3222" spans="1:6" ht="18" customHeight="1" x14ac:dyDescent="0.35">
      <c r="A3222" s="274" t="e">
        <f>MATCH(B3222,STUDIES!$A$3:$A$502,0)</f>
        <v>#N/A</v>
      </c>
      <c r="F3222" s="155">
        <f>_xlfn.XLOOKUP(B3222,STUDIES!$A$3:$A$1063,STUDIES!$G$3:$G$1063,"Not Found!")</f>
        <v>0</v>
      </c>
    </row>
    <row r="3223" spans="1:6" ht="18" customHeight="1" x14ac:dyDescent="0.35">
      <c r="A3223" s="274" t="e">
        <f>MATCH(B3223,STUDIES!$A$3:$A$502,0)</f>
        <v>#N/A</v>
      </c>
      <c r="F3223" s="155">
        <f>_xlfn.XLOOKUP(B3223,STUDIES!$A$3:$A$1063,STUDIES!$G$3:$G$1063,"Not Found!")</f>
        <v>0</v>
      </c>
    </row>
    <row r="3224" spans="1:6" ht="18" customHeight="1" x14ac:dyDescent="0.35">
      <c r="A3224" s="274" t="e">
        <f>MATCH(B3224,STUDIES!$A$3:$A$502,0)</f>
        <v>#N/A</v>
      </c>
      <c r="F3224" s="155">
        <f>_xlfn.XLOOKUP(B3224,STUDIES!$A$3:$A$1063,STUDIES!$G$3:$G$1063,"Not Found!")</f>
        <v>0</v>
      </c>
    </row>
    <row r="3225" spans="1:6" ht="18" customHeight="1" x14ac:dyDescent="0.35">
      <c r="A3225" s="274" t="e">
        <f>MATCH(B3225,STUDIES!$A$3:$A$502,0)</f>
        <v>#N/A</v>
      </c>
      <c r="F3225" s="155">
        <f>_xlfn.XLOOKUP(B3225,STUDIES!$A$3:$A$1063,STUDIES!$G$3:$G$1063,"Not Found!")</f>
        <v>0</v>
      </c>
    </row>
    <row r="3226" spans="1:6" ht="18" customHeight="1" x14ac:dyDescent="0.35">
      <c r="A3226" s="274" t="e">
        <f>MATCH(B3226,STUDIES!$A$3:$A$502,0)</f>
        <v>#N/A</v>
      </c>
      <c r="F3226" s="155">
        <f>_xlfn.XLOOKUP(B3226,STUDIES!$A$3:$A$1063,STUDIES!$G$3:$G$1063,"Not Found!")</f>
        <v>0</v>
      </c>
    </row>
    <row r="3227" spans="1:6" ht="18" customHeight="1" x14ac:dyDescent="0.35">
      <c r="A3227" s="274" t="e">
        <f>MATCH(B3227,STUDIES!$A$3:$A$502,0)</f>
        <v>#N/A</v>
      </c>
      <c r="F3227" s="155">
        <f>_xlfn.XLOOKUP(B3227,STUDIES!$A$3:$A$1063,STUDIES!$G$3:$G$1063,"Not Found!")</f>
        <v>0</v>
      </c>
    </row>
    <row r="3228" spans="1:6" ht="18" customHeight="1" x14ac:dyDescent="0.35">
      <c r="A3228" s="274" t="e">
        <f>MATCH(B3228,STUDIES!$A$3:$A$502,0)</f>
        <v>#N/A</v>
      </c>
      <c r="F3228" s="155">
        <f>_xlfn.XLOOKUP(B3228,STUDIES!$A$3:$A$1063,STUDIES!$G$3:$G$1063,"Not Found!")</f>
        <v>0</v>
      </c>
    </row>
    <row r="3229" spans="1:6" ht="18" customHeight="1" x14ac:dyDescent="0.35">
      <c r="A3229" s="274" t="e">
        <f>MATCH(B3229,STUDIES!$A$3:$A$502,0)</f>
        <v>#N/A</v>
      </c>
      <c r="F3229" s="155">
        <f>_xlfn.XLOOKUP(B3229,STUDIES!$A$3:$A$1063,STUDIES!$G$3:$G$1063,"Not Found!")</f>
        <v>0</v>
      </c>
    </row>
    <row r="3230" spans="1:6" ht="18" customHeight="1" x14ac:dyDescent="0.35">
      <c r="A3230" s="274" t="e">
        <f>MATCH(B3230,STUDIES!$A$3:$A$502,0)</f>
        <v>#N/A</v>
      </c>
      <c r="F3230" s="155">
        <f>_xlfn.XLOOKUP(B3230,STUDIES!$A$3:$A$1063,STUDIES!$G$3:$G$1063,"Not Found!")</f>
        <v>0</v>
      </c>
    </row>
    <row r="3231" spans="1:6" ht="18" customHeight="1" x14ac:dyDescent="0.35">
      <c r="A3231" s="274" t="e">
        <f>MATCH(B3231,STUDIES!$A$3:$A$502,0)</f>
        <v>#N/A</v>
      </c>
      <c r="F3231" s="155">
        <f>_xlfn.XLOOKUP(B3231,STUDIES!$A$3:$A$1063,STUDIES!$G$3:$G$1063,"Not Found!")</f>
        <v>0</v>
      </c>
    </row>
    <row r="3232" spans="1:6" ht="18" customHeight="1" x14ac:dyDescent="0.35">
      <c r="A3232" s="274" t="e">
        <f>MATCH(B3232,STUDIES!$A$3:$A$502,0)</f>
        <v>#N/A</v>
      </c>
      <c r="F3232" s="155">
        <f>_xlfn.XLOOKUP(B3232,STUDIES!$A$3:$A$1063,STUDIES!$G$3:$G$1063,"Not Found!")</f>
        <v>0</v>
      </c>
    </row>
    <row r="3233" spans="1:6" ht="18" customHeight="1" x14ac:dyDescent="0.35">
      <c r="A3233" s="274" t="e">
        <f>MATCH(B3233,STUDIES!$A$3:$A$502,0)</f>
        <v>#N/A</v>
      </c>
      <c r="F3233" s="155">
        <f>_xlfn.XLOOKUP(B3233,STUDIES!$A$3:$A$1063,STUDIES!$G$3:$G$1063,"Not Found!")</f>
        <v>0</v>
      </c>
    </row>
    <row r="3234" spans="1:6" ht="18" customHeight="1" x14ac:dyDescent="0.35">
      <c r="A3234" s="274" t="e">
        <f>MATCH(B3234,STUDIES!$A$3:$A$502,0)</f>
        <v>#N/A</v>
      </c>
      <c r="F3234" s="155">
        <f>_xlfn.XLOOKUP(B3234,STUDIES!$A$3:$A$1063,STUDIES!$G$3:$G$1063,"Not Found!")</f>
        <v>0</v>
      </c>
    </row>
    <row r="3235" spans="1:6" ht="18" customHeight="1" x14ac:dyDescent="0.35">
      <c r="A3235" s="274" t="e">
        <f>MATCH(B3235,STUDIES!$A$3:$A$502,0)</f>
        <v>#N/A</v>
      </c>
      <c r="F3235" s="155">
        <f>_xlfn.XLOOKUP(B3235,STUDIES!$A$3:$A$1063,STUDIES!$G$3:$G$1063,"Not Found!")</f>
        <v>0</v>
      </c>
    </row>
    <row r="3236" spans="1:6" ht="18" customHeight="1" x14ac:dyDescent="0.35">
      <c r="A3236" s="274" t="e">
        <f>MATCH(B3236,STUDIES!$A$3:$A$502,0)</f>
        <v>#N/A</v>
      </c>
      <c r="F3236" s="155">
        <f>_xlfn.XLOOKUP(B3236,STUDIES!$A$3:$A$1063,STUDIES!$G$3:$G$1063,"Not Found!")</f>
        <v>0</v>
      </c>
    </row>
    <row r="3237" spans="1:6" ht="18" customHeight="1" x14ac:dyDescent="0.35">
      <c r="A3237" s="274" t="e">
        <f>MATCH(B3237,STUDIES!$A$3:$A$502,0)</f>
        <v>#N/A</v>
      </c>
      <c r="F3237" s="155">
        <f>_xlfn.XLOOKUP(B3237,STUDIES!$A$3:$A$1063,STUDIES!$G$3:$G$1063,"Not Found!")</f>
        <v>0</v>
      </c>
    </row>
    <row r="3238" spans="1:6" ht="18" customHeight="1" x14ac:dyDescent="0.35">
      <c r="A3238" s="274" t="e">
        <f>MATCH(B3238,STUDIES!$A$3:$A$502,0)</f>
        <v>#N/A</v>
      </c>
      <c r="F3238" s="155">
        <f>_xlfn.XLOOKUP(B3238,STUDIES!$A$3:$A$1063,STUDIES!$G$3:$G$1063,"Not Found!")</f>
        <v>0</v>
      </c>
    </row>
    <row r="3239" spans="1:6" ht="18" customHeight="1" x14ac:dyDescent="0.35">
      <c r="A3239" s="274" t="e">
        <f>MATCH(B3239,STUDIES!$A$3:$A$502,0)</f>
        <v>#N/A</v>
      </c>
      <c r="F3239" s="155">
        <f>_xlfn.XLOOKUP(B3239,STUDIES!$A$3:$A$1063,STUDIES!$G$3:$G$1063,"Not Found!")</f>
        <v>0</v>
      </c>
    </row>
    <row r="3240" spans="1:6" ht="18" customHeight="1" x14ac:dyDescent="0.35">
      <c r="A3240" s="274" t="e">
        <f>MATCH(B3240,STUDIES!$A$3:$A$502,0)</f>
        <v>#N/A</v>
      </c>
      <c r="F3240" s="155">
        <f>_xlfn.XLOOKUP(B3240,STUDIES!$A$3:$A$1063,STUDIES!$G$3:$G$1063,"Not Found!")</f>
        <v>0</v>
      </c>
    </row>
    <row r="3241" spans="1:6" ht="18" customHeight="1" x14ac:dyDescent="0.35">
      <c r="A3241" s="274" t="e">
        <f>MATCH(B3241,STUDIES!$A$3:$A$502,0)</f>
        <v>#N/A</v>
      </c>
      <c r="F3241" s="155">
        <f>_xlfn.XLOOKUP(B3241,STUDIES!$A$3:$A$1063,STUDIES!$G$3:$G$1063,"Not Found!")</f>
        <v>0</v>
      </c>
    </row>
    <row r="3242" spans="1:6" ht="18" customHeight="1" x14ac:dyDescent="0.35">
      <c r="A3242" s="274" t="e">
        <f>MATCH(B3242,STUDIES!$A$3:$A$502,0)</f>
        <v>#N/A</v>
      </c>
      <c r="F3242" s="155">
        <f>_xlfn.XLOOKUP(B3242,STUDIES!$A$3:$A$1063,STUDIES!$G$3:$G$1063,"Not Found!")</f>
        <v>0</v>
      </c>
    </row>
    <row r="3243" spans="1:6" ht="18" customHeight="1" x14ac:dyDescent="0.35">
      <c r="A3243" s="274" t="e">
        <f>MATCH(B3243,STUDIES!$A$3:$A$502,0)</f>
        <v>#N/A</v>
      </c>
      <c r="F3243" s="155">
        <f>_xlfn.XLOOKUP(B3243,STUDIES!$A$3:$A$1063,STUDIES!$G$3:$G$1063,"Not Found!")</f>
        <v>0</v>
      </c>
    </row>
    <row r="3244" spans="1:6" ht="18" customHeight="1" x14ac:dyDescent="0.35">
      <c r="A3244" s="274" t="e">
        <f>MATCH(B3244,STUDIES!$A$3:$A$502,0)</f>
        <v>#N/A</v>
      </c>
      <c r="F3244" s="155">
        <f>_xlfn.XLOOKUP(B3244,STUDIES!$A$3:$A$1063,STUDIES!$G$3:$G$1063,"Not Found!")</f>
        <v>0</v>
      </c>
    </row>
    <row r="3245" spans="1:6" ht="18" customHeight="1" x14ac:dyDescent="0.35">
      <c r="A3245" s="274" t="e">
        <f>MATCH(B3245,STUDIES!$A$3:$A$502,0)</f>
        <v>#N/A</v>
      </c>
      <c r="F3245" s="155">
        <f>_xlfn.XLOOKUP(B3245,STUDIES!$A$3:$A$1063,STUDIES!$G$3:$G$1063,"Not Found!")</f>
        <v>0</v>
      </c>
    </row>
    <row r="3246" spans="1:6" ht="18" customHeight="1" x14ac:dyDescent="0.35">
      <c r="A3246" s="274" t="e">
        <f>MATCH(B3246,STUDIES!$A$3:$A$502,0)</f>
        <v>#N/A</v>
      </c>
      <c r="F3246" s="155">
        <f>_xlfn.XLOOKUP(B3246,STUDIES!$A$3:$A$1063,STUDIES!$G$3:$G$1063,"Not Found!")</f>
        <v>0</v>
      </c>
    </row>
    <row r="3247" spans="1:6" ht="18" customHeight="1" x14ac:dyDescent="0.35">
      <c r="A3247" s="274" t="e">
        <f>MATCH(B3247,STUDIES!$A$3:$A$502,0)</f>
        <v>#N/A</v>
      </c>
      <c r="F3247" s="155">
        <f>_xlfn.XLOOKUP(B3247,STUDIES!$A$3:$A$1063,STUDIES!$G$3:$G$1063,"Not Found!")</f>
        <v>0</v>
      </c>
    </row>
    <row r="3248" spans="1:6" ht="18" customHeight="1" x14ac:dyDescent="0.35">
      <c r="A3248" s="274" t="e">
        <f>MATCH(B3248,STUDIES!$A$3:$A$502,0)</f>
        <v>#N/A</v>
      </c>
      <c r="F3248" s="155">
        <f>_xlfn.XLOOKUP(B3248,STUDIES!$A$3:$A$1063,STUDIES!$G$3:$G$1063,"Not Found!")</f>
        <v>0</v>
      </c>
    </row>
    <row r="3249" spans="1:6" ht="18" customHeight="1" x14ac:dyDescent="0.35">
      <c r="A3249" s="274" t="e">
        <f>MATCH(B3249,STUDIES!$A$3:$A$502,0)</f>
        <v>#N/A</v>
      </c>
      <c r="F3249" s="155">
        <f>_xlfn.XLOOKUP(B3249,STUDIES!$A$3:$A$1063,STUDIES!$G$3:$G$1063,"Not Found!")</f>
        <v>0</v>
      </c>
    </row>
    <row r="3250" spans="1:6" ht="18" customHeight="1" x14ac:dyDescent="0.35">
      <c r="A3250" s="274" t="e">
        <f>MATCH(B3250,STUDIES!$A$3:$A$502,0)</f>
        <v>#N/A</v>
      </c>
      <c r="F3250" s="155">
        <f>_xlfn.XLOOKUP(B3250,STUDIES!$A$3:$A$1063,STUDIES!$G$3:$G$1063,"Not Found!")</f>
        <v>0</v>
      </c>
    </row>
    <row r="3251" spans="1:6" ht="18" customHeight="1" x14ac:dyDescent="0.35">
      <c r="A3251" s="274" t="e">
        <f>MATCH(B3251,STUDIES!$A$3:$A$502,0)</f>
        <v>#N/A</v>
      </c>
      <c r="F3251" s="155">
        <f>_xlfn.XLOOKUP(B3251,STUDIES!$A$3:$A$1063,STUDIES!$G$3:$G$1063,"Not Found!")</f>
        <v>0</v>
      </c>
    </row>
    <row r="3252" spans="1:6" ht="18" customHeight="1" x14ac:dyDescent="0.35">
      <c r="A3252" s="274" t="e">
        <f>MATCH(B3252,STUDIES!$A$3:$A$502,0)</f>
        <v>#N/A</v>
      </c>
      <c r="F3252" s="155">
        <f>_xlfn.XLOOKUP(B3252,STUDIES!$A$3:$A$1063,STUDIES!$G$3:$G$1063,"Not Found!")</f>
        <v>0</v>
      </c>
    </row>
    <row r="3253" spans="1:6" ht="18" customHeight="1" x14ac:dyDescent="0.35">
      <c r="A3253" s="274" t="e">
        <f>MATCH(B3253,STUDIES!$A$3:$A$502,0)</f>
        <v>#N/A</v>
      </c>
      <c r="F3253" s="155">
        <f>_xlfn.XLOOKUP(B3253,STUDIES!$A$3:$A$1063,STUDIES!$G$3:$G$1063,"Not Found!")</f>
        <v>0</v>
      </c>
    </row>
    <row r="3254" spans="1:6" ht="18" customHeight="1" x14ac:dyDescent="0.35">
      <c r="A3254" s="274" t="e">
        <f>MATCH(B3254,STUDIES!$A$3:$A$502,0)</f>
        <v>#N/A</v>
      </c>
      <c r="F3254" s="155">
        <f>_xlfn.XLOOKUP(B3254,STUDIES!$A$3:$A$1063,STUDIES!$G$3:$G$1063,"Not Found!")</f>
        <v>0</v>
      </c>
    </row>
    <row r="3255" spans="1:6" ht="18" customHeight="1" x14ac:dyDescent="0.35">
      <c r="A3255" s="274" t="e">
        <f>MATCH(B3255,STUDIES!$A$3:$A$502,0)</f>
        <v>#N/A</v>
      </c>
      <c r="F3255" s="155">
        <f>_xlfn.XLOOKUP(B3255,STUDIES!$A$3:$A$1063,STUDIES!$G$3:$G$1063,"Not Found!")</f>
        <v>0</v>
      </c>
    </row>
    <row r="3256" spans="1:6" ht="18" customHeight="1" x14ac:dyDescent="0.35">
      <c r="A3256" s="274" t="e">
        <f>MATCH(B3256,STUDIES!$A$3:$A$502,0)</f>
        <v>#N/A</v>
      </c>
      <c r="F3256" s="155">
        <f>_xlfn.XLOOKUP(B3256,STUDIES!$A$3:$A$1063,STUDIES!$G$3:$G$1063,"Not Found!")</f>
        <v>0</v>
      </c>
    </row>
    <row r="3257" spans="1:6" ht="18" customHeight="1" x14ac:dyDescent="0.35">
      <c r="A3257" s="274" t="e">
        <f>MATCH(B3257,STUDIES!$A$3:$A$502,0)</f>
        <v>#N/A</v>
      </c>
      <c r="F3257" s="155">
        <f>_xlfn.XLOOKUP(B3257,STUDIES!$A$3:$A$1063,STUDIES!$G$3:$G$1063,"Not Found!")</f>
        <v>0</v>
      </c>
    </row>
    <row r="3258" spans="1:6" ht="18" customHeight="1" x14ac:dyDescent="0.35">
      <c r="A3258" s="274" t="e">
        <f>MATCH(B3258,STUDIES!$A$3:$A$502,0)</f>
        <v>#N/A</v>
      </c>
      <c r="F3258" s="155">
        <f>_xlfn.XLOOKUP(B3258,STUDIES!$A$3:$A$1063,STUDIES!$G$3:$G$1063,"Not Found!")</f>
        <v>0</v>
      </c>
    </row>
    <row r="3259" spans="1:6" ht="18" customHeight="1" x14ac:dyDescent="0.35">
      <c r="A3259" s="274" t="e">
        <f>MATCH(B3259,STUDIES!$A$3:$A$502,0)</f>
        <v>#N/A</v>
      </c>
      <c r="F3259" s="155">
        <f>_xlfn.XLOOKUP(B3259,STUDIES!$A$3:$A$1063,STUDIES!$G$3:$G$1063,"Not Found!")</f>
        <v>0</v>
      </c>
    </row>
    <row r="3260" spans="1:6" ht="18" customHeight="1" x14ac:dyDescent="0.35">
      <c r="A3260" s="274" t="e">
        <f>MATCH(B3260,STUDIES!$A$3:$A$502,0)</f>
        <v>#N/A</v>
      </c>
      <c r="F3260" s="155">
        <f>_xlfn.XLOOKUP(B3260,STUDIES!$A$3:$A$1063,STUDIES!$G$3:$G$1063,"Not Found!")</f>
        <v>0</v>
      </c>
    </row>
    <row r="3261" spans="1:6" ht="18" customHeight="1" x14ac:dyDescent="0.35">
      <c r="A3261" s="274" t="e">
        <f>MATCH(B3261,STUDIES!$A$3:$A$502,0)</f>
        <v>#N/A</v>
      </c>
      <c r="F3261" s="155">
        <f>_xlfn.XLOOKUP(B3261,STUDIES!$A$3:$A$1063,STUDIES!$G$3:$G$1063,"Not Found!")</f>
        <v>0</v>
      </c>
    </row>
    <row r="3262" spans="1:6" ht="18" customHeight="1" x14ac:dyDescent="0.35">
      <c r="A3262" s="274" t="e">
        <f>MATCH(B3262,STUDIES!$A$3:$A$502,0)</f>
        <v>#N/A</v>
      </c>
      <c r="F3262" s="155">
        <f>_xlfn.XLOOKUP(B3262,STUDIES!$A$3:$A$1063,STUDIES!$G$3:$G$1063,"Not Found!")</f>
        <v>0</v>
      </c>
    </row>
    <row r="3263" spans="1:6" ht="18" customHeight="1" x14ac:dyDescent="0.35">
      <c r="A3263" s="274" t="e">
        <f>MATCH(B3263,STUDIES!$A$3:$A$502,0)</f>
        <v>#N/A</v>
      </c>
      <c r="F3263" s="155">
        <f>_xlfn.XLOOKUP(B3263,STUDIES!$A$3:$A$1063,STUDIES!$G$3:$G$1063,"Not Found!")</f>
        <v>0</v>
      </c>
    </row>
    <row r="3264" spans="1:6" ht="18" customHeight="1" x14ac:dyDescent="0.35">
      <c r="A3264" s="274" t="e">
        <f>MATCH(B3264,STUDIES!$A$3:$A$502,0)</f>
        <v>#N/A</v>
      </c>
      <c r="F3264" s="155">
        <f>_xlfn.XLOOKUP(B3264,STUDIES!$A$3:$A$1063,STUDIES!$G$3:$G$1063,"Not Found!")</f>
        <v>0</v>
      </c>
    </row>
    <row r="3265" spans="1:6" ht="18" customHeight="1" x14ac:dyDescent="0.35">
      <c r="A3265" s="274" t="e">
        <f>MATCH(B3265,STUDIES!$A$3:$A$502,0)</f>
        <v>#N/A</v>
      </c>
      <c r="F3265" s="155">
        <f>_xlfn.XLOOKUP(B3265,STUDIES!$A$3:$A$1063,STUDIES!$G$3:$G$1063,"Not Found!")</f>
        <v>0</v>
      </c>
    </row>
    <row r="3266" spans="1:6" ht="18" customHeight="1" x14ac:dyDescent="0.35">
      <c r="A3266" s="274" t="e">
        <f>MATCH(B3266,STUDIES!$A$3:$A$502,0)</f>
        <v>#N/A</v>
      </c>
      <c r="F3266" s="155">
        <f>_xlfn.XLOOKUP(B3266,STUDIES!$A$3:$A$1063,STUDIES!$G$3:$G$1063,"Not Found!")</f>
        <v>0</v>
      </c>
    </row>
    <row r="3267" spans="1:6" ht="18" customHeight="1" x14ac:dyDescent="0.35">
      <c r="A3267" s="274" t="e">
        <f>MATCH(B3267,STUDIES!$A$3:$A$502,0)</f>
        <v>#N/A</v>
      </c>
      <c r="F3267" s="155">
        <f>_xlfn.XLOOKUP(B3267,STUDIES!$A$3:$A$1063,STUDIES!$G$3:$G$1063,"Not Found!")</f>
        <v>0</v>
      </c>
    </row>
    <row r="3268" spans="1:6" ht="18" customHeight="1" x14ac:dyDescent="0.35">
      <c r="A3268" s="274" t="e">
        <f>MATCH(B3268,STUDIES!$A$3:$A$502,0)</f>
        <v>#N/A</v>
      </c>
      <c r="F3268" s="155">
        <f>_xlfn.XLOOKUP(B3268,STUDIES!$A$3:$A$1063,STUDIES!$G$3:$G$1063,"Not Found!")</f>
        <v>0</v>
      </c>
    </row>
    <row r="3269" spans="1:6" ht="18" customHeight="1" x14ac:dyDescent="0.35">
      <c r="A3269" s="274" t="e">
        <f>MATCH(B3269,STUDIES!$A$3:$A$502,0)</f>
        <v>#N/A</v>
      </c>
      <c r="F3269" s="155">
        <f>_xlfn.XLOOKUP(B3269,STUDIES!$A$3:$A$1063,STUDIES!$G$3:$G$1063,"Not Found!")</f>
        <v>0</v>
      </c>
    </row>
    <row r="3270" spans="1:6" ht="18" customHeight="1" x14ac:dyDescent="0.35">
      <c r="A3270" s="274" t="e">
        <f>MATCH(B3270,STUDIES!$A$3:$A$502,0)</f>
        <v>#N/A</v>
      </c>
      <c r="F3270" s="155">
        <f>_xlfn.XLOOKUP(B3270,STUDIES!$A$3:$A$1063,STUDIES!$G$3:$G$1063,"Not Found!")</f>
        <v>0</v>
      </c>
    </row>
    <row r="3271" spans="1:6" ht="18" customHeight="1" x14ac:dyDescent="0.35">
      <c r="A3271" s="274" t="e">
        <f>MATCH(B3271,STUDIES!$A$3:$A$502,0)</f>
        <v>#N/A</v>
      </c>
      <c r="F3271" s="155">
        <f>_xlfn.XLOOKUP(B3271,STUDIES!$A$3:$A$1063,STUDIES!$G$3:$G$1063,"Not Found!")</f>
        <v>0</v>
      </c>
    </row>
    <row r="3272" spans="1:6" ht="18" customHeight="1" x14ac:dyDescent="0.35">
      <c r="A3272" s="274" t="e">
        <f>MATCH(B3272,STUDIES!$A$3:$A$502,0)</f>
        <v>#N/A</v>
      </c>
      <c r="F3272" s="155">
        <f>_xlfn.XLOOKUP(B3272,STUDIES!$A$3:$A$1063,STUDIES!$G$3:$G$1063,"Not Found!")</f>
        <v>0</v>
      </c>
    </row>
    <row r="3273" spans="1:6" ht="18" customHeight="1" x14ac:dyDescent="0.35">
      <c r="A3273" s="274" t="e">
        <f>MATCH(B3273,STUDIES!$A$3:$A$502,0)</f>
        <v>#N/A</v>
      </c>
      <c r="F3273" s="155">
        <f>_xlfn.XLOOKUP(B3273,STUDIES!$A$3:$A$1063,STUDIES!$G$3:$G$1063,"Not Found!")</f>
        <v>0</v>
      </c>
    </row>
    <row r="3274" spans="1:6" ht="18" customHeight="1" x14ac:dyDescent="0.35">
      <c r="A3274" s="274" t="e">
        <f>MATCH(B3274,STUDIES!$A$3:$A$502,0)</f>
        <v>#N/A</v>
      </c>
      <c r="F3274" s="155">
        <f>_xlfn.XLOOKUP(B3274,STUDIES!$A$3:$A$1063,STUDIES!$G$3:$G$1063,"Not Found!")</f>
        <v>0</v>
      </c>
    </row>
    <row r="3275" spans="1:6" ht="18" customHeight="1" x14ac:dyDescent="0.35">
      <c r="A3275" s="274" t="e">
        <f>MATCH(B3275,STUDIES!$A$3:$A$502,0)</f>
        <v>#N/A</v>
      </c>
      <c r="F3275" s="155">
        <f>_xlfn.XLOOKUP(B3275,STUDIES!$A$3:$A$1063,STUDIES!$G$3:$G$1063,"Not Found!")</f>
        <v>0</v>
      </c>
    </row>
    <row r="3276" spans="1:6" ht="18" customHeight="1" x14ac:dyDescent="0.35">
      <c r="A3276" s="274" t="e">
        <f>MATCH(B3276,STUDIES!$A$3:$A$502,0)</f>
        <v>#N/A</v>
      </c>
      <c r="F3276" s="155">
        <f>_xlfn.XLOOKUP(B3276,STUDIES!$A$3:$A$1063,STUDIES!$G$3:$G$1063,"Not Found!")</f>
        <v>0</v>
      </c>
    </row>
    <row r="3277" spans="1:6" ht="18" customHeight="1" x14ac:dyDescent="0.35">
      <c r="A3277" s="274" t="e">
        <f>MATCH(B3277,STUDIES!$A$3:$A$502,0)</f>
        <v>#N/A</v>
      </c>
      <c r="F3277" s="155">
        <f>_xlfn.XLOOKUP(B3277,STUDIES!$A$3:$A$1063,STUDIES!$G$3:$G$1063,"Not Found!")</f>
        <v>0</v>
      </c>
    </row>
    <row r="3278" spans="1:6" ht="18" customHeight="1" x14ac:dyDescent="0.35">
      <c r="A3278" s="274" t="e">
        <f>MATCH(B3278,STUDIES!$A$3:$A$502,0)</f>
        <v>#N/A</v>
      </c>
      <c r="F3278" s="155">
        <f>_xlfn.XLOOKUP(B3278,STUDIES!$A$3:$A$1063,STUDIES!$G$3:$G$1063,"Not Found!")</f>
        <v>0</v>
      </c>
    </row>
    <row r="3279" spans="1:6" ht="18" customHeight="1" x14ac:dyDescent="0.35">
      <c r="A3279" s="274" t="e">
        <f>MATCH(B3279,STUDIES!$A$3:$A$502,0)</f>
        <v>#N/A</v>
      </c>
      <c r="F3279" s="155">
        <f>_xlfn.XLOOKUP(B3279,STUDIES!$A$3:$A$1063,STUDIES!$G$3:$G$1063,"Not Found!")</f>
        <v>0</v>
      </c>
    </row>
    <row r="3280" spans="1:6" ht="18" customHeight="1" x14ac:dyDescent="0.35">
      <c r="A3280" s="274" t="e">
        <f>MATCH(B3280,STUDIES!$A$3:$A$502,0)</f>
        <v>#N/A</v>
      </c>
      <c r="F3280" s="155">
        <f>_xlfn.XLOOKUP(B3280,STUDIES!$A$3:$A$1063,STUDIES!$G$3:$G$1063,"Not Found!")</f>
        <v>0</v>
      </c>
    </row>
    <row r="3281" spans="1:6" ht="18" customHeight="1" x14ac:dyDescent="0.35">
      <c r="A3281" s="274" t="e">
        <f>MATCH(B3281,STUDIES!$A$3:$A$502,0)</f>
        <v>#N/A</v>
      </c>
      <c r="F3281" s="155">
        <f>_xlfn.XLOOKUP(B3281,STUDIES!$A$3:$A$1063,STUDIES!$G$3:$G$1063,"Not Found!")</f>
        <v>0</v>
      </c>
    </row>
    <row r="3282" spans="1:6" ht="18" customHeight="1" x14ac:dyDescent="0.35">
      <c r="A3282" s="274" t="e">
        <f>MATCH(B3282,STUDIES!$A$3:$A$502,0)</f>
        <v>#N/A</v>
      </c>
      <c r="F3282" s="155">
        <f>_xlfn.XLOOKUP(B3282,STUDIES!$A$3:$A$1063,STUDIES!$G$3:$G$1063,"Not Found!")</f>
        <v>0</v>
      </c>
    </row>
    <row r="3283" spans="1:6" ht="18" customHeight="1" x14ac:dyDescent="0.35">
      <c r="A3283" s="274" t="e">
        <f>MATCH(B3283,STUDIES!$A$3:$A$502,0)</f>
        <v>#N/A</v>
      </c>
      <c r="F3283" s="155">
        <f>_xlfn.XLOOKUP(B3283,STUDIES!$A$3:$A$1063,STUDIES!$G$3:$G$1063,"Not Found!")</f>
        <v>0</v>
      </c>
    </row>
    <row r="3284" spans="1:6" ht="18" customHeight="1" x14ac:dyDescent="0.35">
      <c r="A3284" s="274" t="e">
        <f>MATCH(B3284,STUDIES!$A$3:$A$502,0)</f>
        <v>#N/A</v>
      </c>
      <c r="F3284" s="155">
        <f>_xlfn.XLOOKUP(B3284,STUDIES!$A$3:$A$1063,STUDIES!$G$3:$G$1063,"Not Found!")</f>
        <v>0</v>
      </c>
    </row>
    <row r="3285" spans="1:6" ht="18" customHeight="1" x14ac:dyDescent="0.35">
      <c r="A3285" s="274" t="e">
        <f>MATCH(B3285,STUDIES!$A$3:$A$502,0)</f>
        <v>#N/A</v>
      </c>
      <c r="F3285" s="155">
        <f>_xlfn.XLOOKUP(B3285,STUDIES!$A$3:$A$1063,STUDIES!$G$3:$G$1063,"Not Found!")</f>
        <v>0</v>
      </c>
    </row>
    <row r="3286" spans="1:6" ht="18" customHeight="1" x14ac:dyDescent="0.35">
      <c r="A3286" s="274" t="e">
        <f>MATCH(B3286,STUDIES!$A$3:$A$502,0)</f>
        <v>#N/A</v>
      </c>
      <c r="F3286" s="155">
        <f>_xlfn.XLOOKUP(B3286,STUDIES!$A$3:$A$1063,STUDIES!$G$3:$G$1063,"Not Found!")</f>
        <v>0</v>
      </c>
    </row>
    <row r="3287" spans="1:6" ht="18" customHeight="1" x14ac:dyDescent="0.35">
      <c r="A3287" s="274" t="e">
        <f>MATCH(B3287,STUDIES!$A$3:$A$502,0)</f>
        <v>#N/A</v>
      </c>
      <c r="F3287" s="155">
        <f>_xlfn.XLOOKUP(B3287,STUDIES!$A$3:$A$1063,STUDIES!$G$3:$G$1063,"Not Found!")</f>
        <v>0</v>
      </c>
    </row>
    <row r="3288" spans="1:6" ht="18" customHeight="1" x14ac:dyDescent="0.35">
      <c r="A3288" s="274" t="e">
        <f>MATCH(B3288,STUDIES!$A$3:$A$502,0)</f>
        <v>#N/A</v>
      </c>
      <c r="F3288" s="155">
        <f>_xlfn.XLOOKUP(B3288,STUDIES!$A$3:$A$1063,STUDIES!$G$3:$G$1063,"Not Found!")</f>
        <v>0</v>
      </c>
    </row>
    <row r="3289" spans="1:6" ht="18" customHeight="1" x14ac:dyDescent="0.35">
      <c r="A3289" s="274" t="e">
        <f>MATCH(B3289,STUDIES!$A$3:$A$502,0)</f>
        <v>#N/A</v>
      </c>
      <c r="F3289" s="155">
        <f>_xlfn.XLOOKUP(B3289,STUDIES!$A$3:$A$1063,STUDIES!$G$3:$G$1063,"Not Found!")</f>
        <v>0</v>
      </c>
    </row>
    <row r="3290" spans="1:6" ht="18" customHeight="1" x14ac:dyDescent="0.35">
      <c r="A3290" s="274" t="e">
        <f>MATCH(B3290,STUDIES!$A$3:$A$502,0)</f>
        <v>#N/A</v>
      </c>
      <c r="F3290" s="155">
        <f>_xlfn.XLOOKUP(B3290,STUDIES!$A$3:$A$1063,STUDIES!$G$3:$G$1063,"Not Found!")</f>
        <v>0</v>
      </c>
    </row>
    <row r="3291" spans="1:6" ht="18" customHeight="1" x14ac:dyDescent="0.35">
      <c r="A3291" s="274" t="e">
        <f>MATCH(B3291,STUDIES!$A$3:$A$502,0)</f>
        <v>#N/A</v>
      </c>
      <c r="F3291" s="155">
        <f>_xlfn.XLOOKUP(B3291,STUDIES!$A$3:$A$1063,STUDIES!$G$3:$G$1063,"Not Found!")</f>
        <v>0</v>
      </c>
    </row>
    <row r="3292" spans="1:6" ht="18" customHeight="1" x14ac:dyDescent="0.35">
      <c r="A3292" s="274" t="e">
        <f>MATCH(B3292,STUDIES!$A$3:$A$502,0)</f>
        <v>#N/A</v>
      </c>
      <c r="F3292" s="155">
        <f>_xlfn.XLOOKUP(B3292,STUDIES!$A$3:$A$1063,STUDIES!$G$3:$G$1063,"Not Found!")</f>
        <v>0</v>
      </c>
    </row>
    <row r="3293" spans="1:6" ht="18" customHeight="1" x14ac:dyDescent="0.35">
      <c r="A3293" s="274" t="e">
        <f>MATCH(B3293,STUDIES!$A$3:$A$502,0)</f>
        <v>#N/A</v>
      </c>
      <c r="F3293" s="155">
        <f>_xlfn.XLOOKUP(B3293,STUDIES!$A$3:$A$1063,STUDIES!$G$3:$G$1063,"Not Found!")</f>
        <v>0</v>
      </c>
    </row>
    <row r="3294" spans="1:6" ht="18" customHeight="1" x14ac:dyDescent="0.35">
      <c r="A3294" s="274" t="e">
        <f>MATCH(B3294,STUDIES!$A$3:$A$502,0)</f>
        <v>#N/A</v>
      </c>
      <c r="F3294" s="155">
        <f>_xlfn.XLOOKUP(B3294,STUDIES!$A$3:$A$1063,STUDIES!$G$3:$G$1063,"Not Found!")</f>
        <v>0</v>
      </c>
    </row>
    <row r="3295" spans="1:6" ht="18" customHeight="1" x14ac:dyDescent="0.35">
      <c r="A3295" s="274" t="e">
        <f>MATCH(B3295,STUDIES!$A$3:$A$502,0)</f>
        <v>#N/A</v>
      </c>
      <c r="F3295" s="155">
        <f>_xlfn.XLOOKUP(B3295,STUDIES!$A$3:$A$1063,STUDIES!$G$3:$G$1063,"Not Found!")</f>
        <v>0</v>
      </c>
    </row>
    <row r="3296" spans="1:6" ht="18" customHeight="1" x14ac:dyDescent="0.35">
      <c r="A3296" s="274" t="e">
        <f>MATCH(B3296,STUDIES!$A$3:$A$502,0)</f>
        <v>#N/A</v>
      </c>
      <c r="F3296" s="155">
        <f>_xlfn.XLOOKUP(B3296,STUDIES!$A$3:$A$1063,STUDIES!$G$3:$G$1063,"Not Found!")</f>
        <v>0</v>
      </c>
    </row>
    <row r="3297" spans="1:6" ht="18" customHeight="1" x14ac:dyDescent="0.35">
      <c r="A3297" s="274" t="e">
        <f>MATCH(B3297,STUDIES!$A$3:$A$502,0)</f>
        <v>#N/A</v>
      </c>
      <c r="F3297" s="155">
        <f>_xlfn.XLOOKUP(B3297,STUDIES!$A$3:$A$1063,STUDIES!$G$3:$G$1063,"Not Found!")</f>
        <v>0</v>
      </c>
    </row>
    <row r="3298" spans="1:6" ht="18" customHeight="1" x14ac:dyDescent="0.35">
      <c r="A3298" s="274" t="e">
        <f>MATCH(B3298,STUDIES!$A$3:$A$502,0)</f>
        <v>#N/A</v>
      </c>
      <c r="F3298" s="155">
        <f>_xlfn.XLOOKUP(B3298,STUDIES!$A$3:$A$1063,STUDIES!$G$3:$G$1063,"Not Found!")</f>
        <v>0</v>
      </c>
    </row>
    <row r="3299" spans="1:6" ht="18" customHeight="1" x14ac:dyDescent="0.35">
      <c r="A3299" s="274" t="e">
        <f>MATCH(B3299,STUDIES!$A$3:$A$502,0)</f>
        <v>#N/A</v>
      </c>
      <c r="F3299" s="155">
        <f>_xlfn.XLOOKUP(B3299,STUDIES!$A$3:$A$1063,STUDIES!$G$3:$G$1063,"Not Found!")</f>
        <v>0</v>
      </c>
    </row>
    <row r="3300" spans="1:6" ht="18" customHeight="1" x14ac:dyDescent="0.35">
      <c r="A3300" s="274" t="e">
        <f>MATCH(B3300,STUDIES!$A$3:$A$502,0)</f>
        <v>#N/A</v>
      </c>
      <c r="F3300" s="155">
        <f>_xlfn.XLOOKUP(B3300,STUDIES!$A$3:$A$1063,STUDIES!$G$3:$G$1063,"Not Found!")</f>
        <v>0</v>
      </c>
    </row>
    <row r="3301" spans="1:6" ht="18" customHeight="1" x14ac:dyDescent="0.35">
      <c r="A3301" s="274" t="e">
        <f>MATCH(B3301,STUDIES!$A$3:$A$502,0)</f>
        <v>#N/A</v>
      </c>
      <c r="F3301" s="155">
        <f>_xlfn.XLOOKUP(B3301,STUDIES!$A$3:$A$1063,STUDIES!$G$3:$G$1063,"Not Found!")</f>
        <v>0</v>
      </c>
    </row>
    <row r="3302" spans="1:6" ht="18" customHeight="1" x14ac:dyDescent="0.35">
      <c r="A3302" s="274" t="e">
        <f>MATCH(B3302,STUDIES!$A$3:$A$502,0)</f>
        <v>#N/A</v>
      </c>
      <c r="F3302" s="155">
        <f>_xlfn.XLOOKUP(B3302,STUDIES!$A$3:$A$1063,STUDIES!$G$3:$G$1063,"Not Found!")</f>
        <v>0</v>
      </c>
    </row>
    <row r="3303" spans="1:6" ht="18" customHeight="1" x14ac:dyDescent="0.35">
      <c r="A3303" s="274" t="e">
        <f>MATCH(B3303,STUDIES!$A$3:$A$502,0)</f>
        <v>#N/A</v>
      </c>
      <c r="F3303" s="155">
        <f>_xlfn.XLOOKUP(B3303,STUDIES!$A$3:$A$1063,STUDIES!$G$3:$G$1063,"Not Found!")</f>
        <v>0</v>
      </c>
    </row>
    <row r="3304" spans="1:6" ht="18" customHeight="1" x14ac:dyDescent="0.35">
      <c r="A3304" s="274" t="e">
        <f>MATCH(B3304,STUDIES!$A$3:$A$502,0)</f>
        <v>#N/A</v>
      </c>
      <c r="F3304" s="155">
        <f>_xlfn.XLOOKUP(B3304,STUDIES!$A$3:$A$1063,STUDIES!$G$3:$G$1063,"Not Found!")</f>
        <v>0</v>
      </c>
    </row>
    <row r="3305" spans="1:6" ht="18" customHeight="1" x14ac:dyDescent="0.35">
      <c r="A3305" s="274" t="e">
        <f>MATCH(B3305,STUDIES!$A$3:$A$502,0)</f>
        <v>#N/A</v>
      </c>
      <c r="F3305" s="155">
        <f>_xlfn.XLOOKUP(B3305,STUDIES!$A$3:$A$1063,STUDIES!$G$3:$G$1063,"Not Found!")</f>
        <v>0</v>
      </c>
    </row>
    <row r="3306" spans="1:6" ht="18" customHeight="1" x14ac:dyDescent="0.35">
      <c r="A3306" s="274" t="e">
        <f>MATCH(B3306,STUDIES!$A$3:$A$502,0)</f>
        <v>#N/A</v>
      </c>
      <c r="F3306" s="155">
        <f>_xlfn.XLOOKUP(B3306,STUDIES!$A$3:$A$1063,STUDIES!$G$3:$G$1063,"Not Found!")</f>
        <v>0</v>
      </c>
    </row>
    <row r="3307" spans="1:6" ht="18" customHeight="1" x14ac:dyDescent="0.35">
      <c r="A3307" s="274" t="e">
        <f>MATCH(B3307,STUDIES!$A$3:$A$502,0)</f>
        <v>#N/A</v>
      </c>
      <c r="F3307" s="155">
        <f>_xlfn.XLOOKUP(B3307,STUDIES!$A$3:$A$1063,STUDIES!$G$3:$G$1063,"Not Found!")</f>
        <v>0</v>
      </c>
    </row>
    <row r="3308" spans="1:6" ht="18" customHeight="1" x14ac:dyDescent="0.35">
      <c r="A3308" s="274" t="e">
        <f>MATCH(B3308,STUDIES!$A$3:$A$502,0)</f>
        <v>#N/A</v>
      </c>
      <c r="F3308" s="155">
        <f>_xlfn.XLOOKUP(B3308,STUDIES!$A$3:$A$1063,STUDIES!$G$3:$G$1063,"Not Found!")</f>
        <v>0</v>
      </c>
    </row>
    <row r="3309" spans="1:6" ht="18" customHeight="1" x14ac:dyDescent="0.35">
      <c r="A3309" s="274" t="e">
        <f>MATCH(B3309,STUDIES!$A$3:$A$502,0)</f>
        <v>#N/A</v>
      </c>
      <c r="F3309" s="155">
        <f>_xlfn.XLOOKUP(B3309,STUDIES!$A$3:$A$1063,STUDIES!$G$3:$G$1063,"Not Found!")</f>
        <v>0</v>
      </c>
    </row>
    <row r="3310" spans="1:6" ht="18" customHeight="1" x14ac:dyDescent="0.35">
      <c r="A3310" s="274" t="e">
        <f>MATCH(B3310,STUDIES!$A$3:$A$502,0)</f>
        <v>#N/A</v>
      </c>
      <c r="F3310" s="155">
        <f>_xlfn.XLOOKUP(B3310,STUDIES!$A$3:$A$1063,STUDIES!$G$3:$G$1063,"Not Found!")</f>
        <v>0</v>
      </c>
    </row>
    <row r="3311" spans="1:6" ht="18" customHeight="1" x14ac:dyDescent="0.35">
      <c r="A3311" s="274" t="e">
        <f>MATCH(B3311,STUDIES!$A$3:$A$502,0)</f>
        <v>#N/A</v>
      </c>
      <c r="F3311" s="155">
        <f>_xlfn.XLOOKUP(B3311,STUDIES!$A$3:$A$1063,STUDIES!$G$3:$G$1063,"Not Found!")</f>
        <v>0</v>
      </c>
    </row>
    <row r="3312" spans="1:6" ht="18" customHeight="1" x14ac:dyDescent="0.35">
      <c r="A3312" s="274" t="e">
        <f>MATCH(B3312,STUDIES!$A$3:$A$502,0)</f>
        <v>#N/A</v>
      </c>
      <c r="F3312" s="155">
        <f>_xlfn.XLOOKUP(B3312,STUDIES!$A$3:$A$1063,STUDIES!$G$3:$G$1063,"Not Found!")</f>
        <v>0</v>
      </c>
    </row>
    <row r="3313" spans="1:6" ht="18" customHeight="1" x14ac:dyDescent="0.35">
      <c r="A3313" s="274" t="e">
        <f>MATCH(B3313,STUDIES!$A$3:$A$502,0)</f>
        <v>#N/A</v>
      </c>
      <c r="F3313" s="155">
        <f>_xlfn.XLOOKUP(B3313,STUDIES!$A$3:$A$1063,STUDIES!$G$3:$G$1063,"Not Found!")</f>
        <v>0</v>
      </c>
    </row>
    <row r="3314" spans="1:6" ht="18" customHeight="1" x14ac:dyDescent="0.35">
      <c r="A3314" s="274" t="e">
        <f>MATCH(B3314,STUDIES!$A$3:$A$502,0)</f>
        <v>#N/A</v>
      </c>
      <c r="F3314" s="155">
        <f>_xlfn.XLOOKUP(B3314,STUDIES!$A$3:$A$1063,STUDIES!$G$3:$G$1063,"Not Found!")</f>
        <v>0</v>
      </c>
    </row>
    <row r="3315" spans="1:6" ht="18" customHeight="1" x14ac:dyDescent="0.35">
      <c r="A3315" s="274" t="e">
        <f>MATCH(B3315,STUDIES!$A$3:$A$502,0)</f>
        <v>#N/A</v>
      </c>
      <c r="F3315" s="155">
        <f>_xlfn.XLOOKUP(B3315,STUDIES!$A$3:$A$1063,STUDIES!$G$3:$G$1063,"Not Found!")</f>
        <v>0</v>
      </c>
    </row>
    <row r="3316" spans="1:6" ht="18" customHeight="1" x14ac:dyDescent="0.35">
      <c r="A3316" s="274" t="e">
        <f>MATCH(B3316,STUDIES!$A$3:$A$502,0)</f>
        <v>#N/A</v>
      </c>
      <c r="F3316" s="155">
        <f>_xlfn.XLOOKUP(B3316,STUDIES!$A$3:$A$1063,STUDIES!$G$3:$G$1063,"Not Found!")</f>
        <v>0</v>
      </c>
    </row>
    <row r="3317" spans="1:6" ht="18" customHeight="1" x14ac:dyDescent="0.35">
      <c r="A3317" s="274" t="e">
        <f>MATCH(B3317,STUDIES!$A$3:$A$502,0)</f>
        <v>#N/A</v>
      </c>
      <c r="F3317" s="155">
        <f>_xlfn.XLOOKUP(B3317,STUDIES!$A$3:$A$1063,STUDIES!$G$3:$G$1063,"Not Found!")</f>
        <v>0</v>
      </c>
    </row>
    <row r="3318" spans="1:6" ht="18" customHeight="1" x14ac:dyDescent="0.35">
      <c r="A3318" s="274" t="e">
        <f>MATCH(B3318,STUDIES!$A$3:$A$502,0)</f>
        <v>#N/A</v>
      </c>
      <c r="F3318" s="155">
        <f>_xlfn.XLOOKUP(B3318,STUDIES!$A$3:$A$1063,STUDIES!$G$3:$G$1063,"Not Found!")</f>
        <v>0</v>
      </c>
    </row>
    <row r="3319" spans="1:6" ht="18" customHeight="1" x14ac:dyDescent="0.35">
      <c r="A3319" s="274" t="e">
        <f>MATCH(B3319,STUDIES!$A$3:$A$502,0)</f>
        <v>#N/A</v>
      </c>
      <c r="F3319" s="155">
        <f>_xlfn.XLOOKUP(B3319,STUDIES!$A$3:$A$1063,STUDIES!$G$3:$G$1063,"Not Found!")</f>
        <v>0</v>
      </c>
    </row>
    <row r="3320" spans="1:6" ht="18" customHeight="1" x14ac:dyDescent="0.35">
      <c r="A3320" s="274" t="e">
        <f>MATCH(B3320,STUDIES!$A$3:$A$502,0)</f>
        <v>#N/A</v>
      </c>
      <c r="F3320" s="155">
        <f>_xlfn.XLOOKUP(B3320,STUDIES!$A$3:$A$1063,STUDIES!$G$3:$G$1063,"Not Found!")</f>
        <v>0</v>
      </c>
    </row>
    <row r="3321" spans="1:6" ht="18" customHeight="1" x14ac:dyDescent="0.35">
      <c r="A3321" s="274" t="e">
        <f>MATCH(B3321,STUDIES!$A$3:$A$502,0)</f>
        <v>#N/A</v>
      </c>
      <c r="F3321" s="155">
        <f>_xlfn.XLOOKUP(B3321,STUDIES!$A$3:$A$1063,STUDIES!$G$3:$G$1063,"Not Found!")</f>
        <v>0</v>
      </c>
    </row>
    <row r="3322" spans="1:6" ht="18" customHeight="1" x14ac:dyDescent="0.35">
      <c r="A3322" s="274" t="e">
        <f>MATCH(B3322,STUDIES!$A$3:$A$502,0)</f>
        <v>#N/A</v>
      </c>
      <c r="F3322" s="155">
        <f>_xlfn.XLOOKUP(B3322,STUDIES!$A$3:$A$1063,STUDIES!$G$3:$G$1063,"Not Found!")</f>
        <v>0</v>
      </c>
    </row>
    <row r="3323" spans="1:6" ht="18" customHeight="1" x14ac:dyDescent="0.35">
      <c r="A3323" s="274" t="e">
        <f>MATCH(B3323,STUDIES!$A$3:$A$502,0)</f>
        <v>#N/A</v>
      </c>
      <c r="F3323" s="155">
        <f>_xlfn.XLOOKUP(B3323,STUDIES!$A$3:$A$1063,STUDIES!$G$3:$G$1063,"Not Found!")</f>
        <v>0</v>
      </c>
    </row>
    <row r="3324" spans="1:6" ht="18" customHeight="1" x14ac:dyDescent="0.35">
      <c r="A3324" s="274" t="e">
        <f>MATCH(B3324,STUDIES!$A$3:$A$502,0)</f>
        <v>#N/A</v>
      </c>
      <c r="F3324" s="155">
        <f>_xlfn.XLOOKUP(B3324,STUDIES!$A$3:$A$1063,STUDIES!$G$3:$G$1063,"Not Found!")</f>
        <v>0</v>
      </c>
    </row>
    <row r="3325" spans="1:6" ht="18" customHeight="1" x14ac:dyDescent="0.35">
      <c r="A3325" s="274" t="e">
        <f>MATCH(B3325,STUDIES!$A$3:$A$502,0)</f>
        <v>#N/A</v>
      </c>
      <c r="F3325" s="155">
        <f>_xlfn.XLOOKUP(B3325,STUDIES!$A$3:$A$1063,STUDIES!$G$3:$G$1063,"Not Found!")</f>
        <v>0</v>
      </c>
    </row>
    <row r="3326" spans="1:6" ht="18" customHeight="1" x14ac:dyDescent="0.35">
      <c r="A3326" s="274" t="e">
        <f>MATCH(B3326,STUDIES!$A$3:$A$502,0)</f>
        <v>#N/A</v>
      </c>
      <c r="F3326" s="155">
        <f>_xlfn.XLOOKUP(B3326,STUDIES!$A$3:$A$1063,STUDIES!$G$3:$G$1063,"Not Found!")</f>
        <v>0</v>
      </c>
    </row>
    <row r="3327" spans="1:6" ht="18" customHeight="1" x14ac:dyDescent="0.35">
      <c r="A3327" s="274" t="e">
        <f>MATCH(B3327,STUDIES!$A$3:$A$502,0)</f>
        <v>#N/A</v>
      </c>
      <c r="F3327" s="155">
        <f>_xlfn.XLOOKUP(B3327,STUDIES!$A$3:$A$1063,STUDIES!$G$3:$G$1063,"Not Found!")</f>
        <v>0</v>
      </c>
    </row>
    <row r="3328" spans="1:6" ht="18" customHeight="1" x14ac:dyDescent="0.35">
      <c r="A3328" s="274" t="e">
        <f>MATCH(B3328,STUDIES!$A$3:$A$502,0)</f>
        <v>#N/A</v>
      </c>
      <c r="F3328" s="155">
        <f>_xlfn.XLOOKUP(B3328,STUDIES!$A$3:$A$1063,STUDIES!$G$3:$G$1063,"Not Found!")</f>
        <v>0</v>
      </c>
    </row>
    <row r="3329" spans="1:6" ht="18" customHeight="1" x14ac:dyDescent="0.35">
      <c r="A3329" s="274" t="e">
        <f>MATCH(B3329,STUDIES!$A$3:$A$502,0)</f>
        <v>#N/A</v>
      </c>
      <c r="F3329" s="155">
        <f>_xlfn.XLOOKUP(B3329,STUDIES!$A$3:$A$1063,STUDIES!$G$3:$G$1063,"Not Found!")</f>
        <v>0</v>
      </c>
    </row>
    <row r="3330" spans="1:6" ht="18" customHeight="1" x14ac:dyDescent="0.35">
      <c r="A3330" s="274" t="e">
        <f>MATCH(B3330,STUDIES!$A$3:$A$502,0)</f>
        <v>#N/A</v>
      </c>
      <c r="F3330" s="155">
        <f>_xlfn.XLOOKUP(B3330,STUDIES!$A$3:$A$1063,STUDIES!$G$3:$G$1063,"Not Found!")</f>
        <v>0</v>
      </c>
    </row>
    <row r="3331" spans="1:6" ht="18" customHeight="1" x14ac:dyDescent="0.35">
      <c r="A3331" s="274" t="e">
        <f>MATCH(B3331,STUDIES!$A$3:$A$502,0)</f>
        <v>#N/A</v>
      </c>
      <c r="F3331" s="155">
        <f>_xlfn.XLOOKUP(B3331,STUDIES!$A$3:$A$1063,STUDIES!$G$3:$G$1063,"Not Found!")</f>
        <v>0</v>
      </c>
    </row>
    <row r="3332" spans="1:6" ht="18" customHeight="1" x14ac:dyDescent="0.35">
      <c r="A3332" s="274" t="e">
        <f>MATCH(B3332,STUDIES!$A$3:$A$502,0)</f>
        <v>#N/A</v>
      </c>
      <c r="F3332" s="155">
        <f>_xlfn.XLOOKUP(B3332,STUDIES!$A$3:$A$1063,STUDIES!$G$3:$G$1063,"Not Found!")</f>
        <v>0</v>
      </c>
    </row>
    <row r="3333" spans="1:6" ht="18" customHeight="1" x14ac:dyDescent="0.35">
      <c r="A3333" s="274" t="e">
        <f>MATCH(B3333,STUDIES!$A$3:$A$502,0)</f>
        <v>#N/A</v>
      </c>
      <c r="F3333" s="155">
        <f>_xlfn.XLOOKUP(B3333,STUDIES!$A$3:$A$1063,STUDIES!$G$3:$G$1063,"Not Found!")</f>
        <v>0</v>
      </c>
    </row>
    <row r="3334" spans="1:6" ht="18" customHeight="1" x14ac:dyDescent="0.35">
      <c r="A3334" s="274" t="e">
        <f>MATCH(B3334,STUDIES!$A$3:$A$502,0)</f>
        <v>#N/A</v>
      </c>
      <c r="F3334" s="155">
        <f>_xlfn.XLOOKUP(B3334,STUDIES!$A$3:$A$1063,STUDIES!$G$3:$G$1063,"Not Found!")</f>
        <v>0</v>
      </c>
    </row>
    <row r="3335" spans="1:6" ht="18" customHeight="1" x14ac:dyDescent="0.35">
      <c r="A3335" s="274" t="e">
        <f>MATCH(B3335,STUDIES!$A$3:$A$502,0)</f>
        <v>#N/A</v>
      </c>
      <c r="F3335" s="155">
        <f>_xlfn.XLOOKUP(B3335,STUDIES!$A$3:$A$1063,STUDIES!$G$3:$G$1063,"Not Found!")</f>
        <v>0</v>
      </c>
    </row>
    <row r="3336" spans="1:6" ht="18" customHeight="1" x14ac:dyDescent="0.35">
      <c r="A3336" s="274" t="e">
        <f>MATCH(B3336,STUDIES!$A$3:$A$502,0)</f>
        <v>#N/A</v>
      </c>
      <c r="F3336" s="155">
        <f>_xlfn.XLOOKUP(B3336,STUDIES!$A$3:$A$1063,STUDIES!$G$3:$G$1063,"Not Found!")</f>
        <v>0</v>
      </c>
    </row>
    <row r="3337" spans="1:6" ht="18" customHeight="1" x14ac:dyDescent="0.35">
      <c r="A3337" s="274" t="e">
        <f>MATCH(B3337,STUDIES!$A$3:$A$502,0)</f>
        <v>#N/A</v>
      </c>
      <c r="F3337" s="155">
        <f>_xlfn.XLOOKUP(B3337,STUDIES!$A$3:$A$1063,STUDIES!$G$3:$G$1063,"Not Found!")</f>
        <v>0</v>
      </c>
    </row>
    <row r="3338" spans="1:6" ht="18" customHeight="1" x14ac:dyDescent="0.35">
      <c r="A3338" s="274" t="e">
        <f>MATCH(B3338,STUDIES!$A$3:$A$502,0)</f>
        <v>#N/A</v>
      </c>
      <c r="F3338" s="155">
        <f>_xlfn.XLOOKUP(B3338,STUDIES!$A$3:$A$1063,STUDIES!$G$3:$G$1063,"Not Found!")</f>
        <v>0</v>
      </c>
    </row>
    <row r="3339" spans="1:6" ht="18" customHeight="1" x14ac:dyDescent="0.35">
      <c r="A3339" s="274" t="e">
        <f>MATCH(B3339,STUDIES!$A$3:$A$502,0)</f>
        <v>#N/A</v>
      </c>
      <c r="F3339" s="155">
        <f>_xlfn.XLOOKUP(B3339,STUDIES!$A$3:$A$1063,STUDIES!$G$3:$G$1063,"Not Found!")</f>
        <v>0</v>
      </c>
    </row>
    <row r="3340" spans="1:6" ht="18" customHeight="1" x14ac:dyDescent="0.35">
      <c r="A3340" s="274" t="e">
        <f>MATCH(B3340,STUDIES!$A$3:$A$502,0)</f>
        <v>#N/A</v>
      </c>
      <c r="F3340" s="155">
        <f>_xlfn.XLOOKUP(B3340,STUDIES!$A$3:$A$1063,STUDIES!$G$3:$G$1063,"Not Found!")</f>
        <v>0</v>
      </c>
    </row>
    <row r="3341" spans="1:6" ht="18" customHeight="1" x14ac:dyDescent="0.35">
      <c r="A3341" s="274" t="e">
        <f>MATCH(B3341,STUDIES!$A$3:$A$502,0)</f>
        <v>#N/A</v>
      </c>
      <c r="F3341" s="155">
        <f>_xlfn.XLOOKUP(B3341,STUDIES!$A$3:$A$1063,STUDIES!$G$3:$G$1063,"Not Found!")</f>
        <v>0</v>
      </c>
    </row>
    <row r="3342" spans="1:6" ht="18" customHeight="1" x14ac:dyDescent="0.35">
      <c r="A3342" s="274" t="e">
        <f>MATCH(B3342,STUDIES!$A$3:$A$502,0)</f>
        <v>#N/A</v>
      </c>
      <c r="F3342" s="155">
        <f>_xlfn.XLOOKUP(B3342,STUDIES!$A$3:$A$1063,STUDIES!$G$3:$G$1063,"Not Found!")</f>
        <v>0</v>
      </c>
    </row>
    <row r="3343" spans="1:6" ht="18" customHeight="1" x14ac:dyDescent="0.35">
      <c r="A3343" s="274" t="e">
        <f>MATCH(B3343,STUDIES!$A$3:$A$502,0)</f>
        <v>#N/A</v>
      </c>
      <c r="F3343" s="155">
        <f>_xlfn.XLOOKUP(B3343,STUDIES!$A$3:$A$1063,STUDIES!$G$3:$G$1063,"Not Found!")</f>
        <v>0</v>
      </c>
    </row>
    <row r="3344" spans="1:6" ht="18" customHeight="1" x14ac:dyDescent="0.35">
      <c r="A3344" s="274" t="e">
        <f>MATCH(B3344,STUDIES!$A$3:$A$502,0)</f>
        <v>#N/A</v>
      </c>
      <c r="F3344" s="155">
        <f>_xlfn.XLOOKUP(B3344,STUDIES!$A$3:$A$1063,STUDIES!$G$3:$G$1063,"Not Found!")</f>
        <v>0</v>
      </c>
    </row>
    <row r="3345" spans="1:6" ht="18" customHeight="1" x14ac:dyDescent="0.35">
      <c r="A3345" s="274" t="e">
        <f>MATCH(B3345,STUDIES!$A$3:$A$502,0)</f>
        <v>#N/A</v>
      </c>
      <c r="F3345" s="155">
        <f>_xlfn.XLOOKUP(B3345,STUDIES!$A$3:$A$1063,STUDIES!$G$3:$G$1063,"Not Found!")</f>
        <v>0</v>
      </c>
    </row>
    <row r="3346" spans="1:6" ht="18" customHeight="1" x14ac:dyDescent="0.35">
      <c r="A3346" s="274" t="e">
        <f>MATCH(B3346,STUDIES!$A$3:$A$502,0)</f>
        <v>#N/A</v>
      </c>
      <c r="F3346" s="155">
        <f>_xlfn.XLOOKUP(B3346,STUDIES!$A$3:$A$1063,STUDIES!$G$3:$G$1063,"Not Found!")</f>
        <v>0</v>
      </c>
    </row>
    <row r="3347" spans="1:6" ht="18" customHeight="1" x14ac:dyDescent="0.35">
      <c r="A3347" s="274" t="e">
        <f>MATCH(B3347,STUDIES!$A$3:$A$502,0)</f>
        <v>#N/A</v>
      </c>
      <c r="F3347" s="155">
        <f>_xlfn.XLOOKUP(B3347,STUDIES!$A$3:$A$1063,STUDIES!$G$3:$G$1063,"Not Found!")</f>
        <v>0</v>
      </c>
    </row>
    <row r="3348" spans="1:6" ht="18" customHeight="1" x14ac:dyDescent="0.35">
      <c r="A3348" s="274" t="e">
        <f>MATCH(B3348,STUDIES!$A$3:$A$502,0)</f>
        <v>#N/A</v>
      </c>
      <c r="F3348" s="155">
        <f>_xlfn.XLOOKUP(B3348,STUDIES!$A$3:$A$1063,STUDIES!$G$3:$G$1063,"Not Found!")</f>
        <v>0</v>
      </c>
    </row>
    <row r="3349" spans="1:6" ht="18" customHeight="1" x14ac:dyDescent="0.35">
      <c r="A3349" s="274" t="e">
        <f>MATCH(B3349,STUDIES!$A$3:$A$502,0)</f>
        <v>#N/A</v>
      </c>
      <c r="F3349" s="155">
        <f>_xlfn.XLOOKUP(B3349,STUDIES!$A$3:$A$1063,STUDIES!$G$3:$G$1063,"Not Found!")</f>
        <v>0</v>
      </c>
    </row>
    <row r="3350" spans="1:6" ht="18" customHeight="1" x14ac:dyDescent="0.35">
      <c r="A3350" s="274" t="e">
        <f>MATCH(B3350,STUDIES!$A$3:$A$502,0)</f>
        <v>#N/A</v>
      </c>
      <c r="F3350" s="155">
        <f>_xlfn.XLOOKUP(B3350,STUDIES!$A$3:$A$1063,STUDIES!$G$3:$G$1063,"Not Found!")</f>
        <v>0</v>
      </c>
    </row>
    <row r="3351" spans="1:6" ht="18" customHeight="1" x14ac:dyDescent="0.35">
      <c r="A3351" s="274" t="e">
        <f>MATCH(B3351,STUDIES!$A$3:$A$502,0)</f>
        <v>#N/A</v>
      </c>
      <c r="F3351" s="155">
        <f>_xlfn.XLOOKUP(B3351,STUDIES!$A$3:$A$1063,STUDIES!$G$3:$G$1063,"Not Found!")</f>
        <v>0</v>
      </c>
    </row>
    <row r="3352" spans="1:6" ht="18" customHeight="1" x14ac:dyDescent="0.35">
      <c r="A3352" s="274" t="e">
        <f>MATCH(B3352,STUDIES!$A$3:$A$502,0)</f>
        <v>#N/A</v>
      </c>
      <c r="F3352" s="155">
        <f>_xlfn.XLOOKUP(B3352,STUDIES!$A$3:$A$1063,STUDIES!$G$3:$G$1063,"Not Found!")</f>
        <v>0</v>
      </c>
    </row>
    <row r="3353" spans="1:6" ht="18" customHeight="1" x14ac:dyDescent="0.35">
      <c r="A3353" s="274" t="e">
        <f>MATCH(B3353,STUDIES!$A$3:$A$502,0)</f>
        <v>#N/A</v>
      </c>
      <c r="F3353" s="155">
        <f>_xlfn.XLOOKUP(B3353,STUDIES!$A$3:$A$1063,STUDIES!$G$3:$G$1063,"Not Found!")</f>
        <v>0</v>
      </c>
    </row>
    <row r="3354" spans="1:6" ht="18" customHeight="1" x14ac:dyDescent="0.35">
      <c r="A3354" s="274" t="e">
        <f>MATCH(B3354,STUDIES!$A$3:$A$502,0)</f>
        <v>#N/A</v>
      </c>
      <c r="F3354" s="155">
        <f>_xlfn.XLOOKUP(B3354,STUDIES!$A$3:$A$1063,STUDIES!$G$3:$G$1063,"Not Found!")</f>
        <v>0</v>
      </c>
    </row>
    <row r="3355" spans="1:6" ht="18" customHeight="1" x14ac:dyDescent="0.35">
      <c r="A3355" s="274" t="e">
        <f>MATCH(B3355,STUDIES!$A$3:$A$502,0)</f>
        <v>#N/A</v>
      </c>
      <c r="F3355" s="155">
        <f>_xlfn.XLOOKUP(B3355,STUDIES!$A$3:$A$1063,STUDIES!$G$3:$G$1063,"Not Found!")</f>
        <v>0</v>
      </c>
    </row>
    <row r="3356" spans="1:6" ht="18" customHeight="1" x14ac:dyDescent="0.35">
      <c r="A3356" s="274" t="e">
        <f>MATCH(B3356,STUDIES!$A$3:$A$502,0)</f>
        <v>#N/A</v>
      </c>
      <c r="F3356" s="155">
        <f>_xlfn.XLOOKUP(B3356,STUDIES!$A$3:$A$1063,STUDIES!$G$3:$G$1063,"Not Found!")</f>
        <v>0</v>
      </c>
    </row>
    <row r="3357" spans="1:6" ht="18" customHeight="1" x14ac:dyDescent="0.35">
      <c r="A3357" s="274" t="e">
        <f>MATCH(B3357,STUDIES!$A$3:$A$502,0)</f>
        <v>#N/A</v>
      </c>
      <c r="F3357" s="155">
        <f>_xlfn.XLOOKUP(B3357,STUDIES!$A$3:$A$1063,STUDIES!$G$3:$G$1063,"Not Found!")</f>
        <v>0</v>
      </c>
    </row>
    <row r="3358" spans="1:6" ht="18" customHeight="1" x14ac:dyDescent="0.35">
      <c r="A3358" s="274" t="e">
        <f>MATCH(B3358,STUDIES!$A$3:$A$502,0)</f>
        <v>#N/A</v>
      </c>
      <c r="F3358" s="155">
        <f>_xlfn.XLOOKUP(B3358,STUDIES!$A$3:$A$1063,STUDIES!$G$3:$G$1063,"Not Found!")</f>
        <v>0</v>
      </c>
    </row>
    <row r="3359" spans="1:6" ht="18" customHeight="1" x14ac:dyDescent="0.35">
      <c r="A3359" s="274" t="e">
        <f>MATCH(B3359,STUDIES!$A$3:$A$502,0)</f>
        <v>#N/A</v>
      </c>
      <c r="F3359" s="155">
        <f>_xlfn.XLOOKUP(B3359,STUDIES!$A$3:$A$1063,STUDIES!$G$3:$G$1063,"Not Found!")</f>
        <v>0</v>
      </c>
    </row>
    <row r="3360" spans="1:6" ht="18" customHeight="1" x14ac:dyDescent="0.35">
      <c r="A3360" s="274" t="e">
        <f>MATCH(B3360,STUDIES!$A$3:$A$502,0)</f>
        <v>#N/A</v>
      </c>
      <c r="F3360" s="155">
        <f>_xlfn.XLOOKUP(B3360,STUDIES!$A$3:$A$1063,STUDIES!$G$3:$G$1063,"Not Found!")</f>
        <v>0</v>
      </c>
    </row>
    <row r="3361" spans="1:6" ht="18" customHeight="1" x14ac:dyDescent="0.35">
      <c r="A3361" s="274" t="e">
        <f>MATCH(B3361,STUDIES!$A$3:$A$502,0)</f>
        <v>#N/A</v>
      </c>
      <c r="F3361" s="155">
        <f>_xlfn.XLOOKUP(B3361,STUDIES!$A$3:$A$1063,STUDIES!$G$3:$G$1063,"Not Found!")</f>
        <v>0</v>
      </c>
    </row>
    <row r="3362" spans="1:6" ht="18" customHeight="1" x14ac:dyDescent="0.35">
      <c r="A3362" s="274" t="e">
        <f>MATCH(B3362,STUDIES!$A$3:$A$502,0)</f>
        <v>#N/A</v>
      </c>
      <c r="F3362" s="155">
        <f>_xlfn.XLOOKUP(B3362,STUDIES!$A$3:$A$1063,STUDIES!$G$3:$G$1063,"Not Found!")</f>
        <v>0</v>
      </c>
    </row>
    <row r="3363" spans="1:6" ht="18" customHeight="1" x14ac:dyDescent="0.35">
      <c r="A3363" s="274" t="e">
        <f>MATCH(B3363,STUDIES!$A$3:$A$502,0)</f>
        <v>#N/A</v>
      </c>
      <c r="F3363" s="155">
        <f>_xlfn.XLOOKUP(B3363,STUDIES!$A$3:$A$1063,STUDIES!$G$3:$G$1063,"Not Found!")</f>
        <v>0</v>
      </c>
    </row>
    <row r="3364" spans="1:6" ht="18" customHeight="1" x14ac:dyDescent="0.35">
      <c r="A3364" s="274" t="e">
        <f>MATCH(B3364,STUDIES!$A$3:$A$502,0)</f>
        <v>#N/A</v>
      </c>
      <c r="F3364" s="155">
        <f>_xlfn.XLOOKUP(B3364,STUDIES!$A$3:$A$1063,STUDIES!$G$3:$G$1063,"Not Found!")</f>
        <v>0</v>
      </c>
    </row>
    <row r="3365" spans="1:6" ht="18" customHeight="1" x14ac:dyDescent="0.35">
      <c r="A3365" s="274" t="e">
        <f>MATCH(B3365,STUDIES!$A$3:$A$502,0)</f>
        <v>#N/A</v>
      </c>
      <c r="F3365" s="155">
        <f>_xlfn.XLOOKUP(B3365,STUDIES!$A$3:$A$1063,STUDIES!$G$3:$G$1063,"Not Found!")</f>
        <v>0</v>
      </c>
    </row>
    <row r="3366" spans="1:6" ht="18" customHeight="1" x14ac:dyDescent="0.35">
      <c r="A3366" s="274" t="e">
        <f>MATCH(B3366,STUDIES!$A$3:$A$502,0)</f>
        <v>#N/A</v>
      </c>
      <c r="F3366" s="155">
        <f>_xlfn.XLOOKUP(B3366,STUDIES!$A$3:$A$1063,STUDIES!$G$3:$G$1063,"Not Found!")</f>
        <v>0</v>
      </c>
    </row>
    <row r="3367" spans="1:6" ht="18" customHeight="1" x14ac:dyDescent="0.35">
      <c r="A3367" s="274" t="e">
        <f>MATCH(B3367,STUDIES!$A$3:$A$502,0)</f>
        <v>#N/A</v>
      </c>
      <c r="F3367" s="155">
        <f>_xlfn.XLOOKUP(B3367,STUDIES!$A$3:$A$1063,STUDIES!$G$3:$G$1063,"Not Found!")</f>
        <v>0</v>
      </c>
    </row>
    <row r="3368" spans="1:6" ht="18" customHeight="1" x14ac:dyDescent="0.35">
      <c r="A3368" s="274" t="e">
        <f>MATCH(B3368,STUDIES!$A$3:$A$502,0)</f>
        <v>#N/A</v>
      </c>
      <c r="F3368" s="155">
        <f>_xlfn.XLOOKUP(B3368,STUDIES!$A$3:$A$1063,STUDIES!$G$3:$G$1063,"Not Found!")</f>
        <v>0</v>
      </c>
    </row>
    <row r="3369" spans="1:6" ht="18" customHeight="1" x14ac:dyDescent="0.35">
      <c r="A3369" s="274" t="e">
        <f>MATCH(B3369,STUDIES!$A$3:$A$502,0)</f>
        <v>#N/A</v>
      </c>
      <c r="F3369" s="155">
        <f>_xlfn.XLOOKUP(B3369,STUDIES!$A$3:$A$1063,STUDIES!$G$3:$G$1063,"Not Found!")</f>
        <v>0</v>
      </c>
    </row>
    <row r="3370" spans="1:6" ht="18" customHeight="1" x14ac:dyDescent="0.35">
      <c r="A3370" s="274" t="e">
        <f>MATCH(B3370,STUDIES!$A$3:$A$502,0)</f>
        <v>#N/A</v>
      </c>
      <c r="F3370" s="155">
        <f>_xlfn.XLOOKUP(B3370,STUDIES!$A$3:$A$1063,STUDIES!$G$3:$G$1063,"Not Found!")</f>
        <v>0</v>
      </c>
    </row>
    <row r="3371" spans="1:6" ht="18" customHeight="1" x14ac:dyDescent="0.35">
      <c r="A3371" s="274" t="e">
        <f>MATCH(B3371,STUDIES!$A$3:$A$502,0)</f>
        <v>#N/A</v>
      </c>
      <c r="F3371" s="155">
        <f>_xlfn.XLOOKUP(B3371,STUDIES!$A$3:$A$1063,STUDIES!$G$3:$G$1063,"Not Found!")</f>
        <v>0</v>
      </c>
    </row>
    <row r="3372" spans="1:6" ht="18" customHeight="1" x14ac:dyDescent="0.35">
      <c r="A3372" s="274" t="e">
        <f>MATCH(B3372,STUDIES!$A$3:$A$502,0)</f>
        <v>#N/A</v>
      </c>
      <c r="F3372" s="155">
        <f>_xlfn.XLOOKUP(B3372,STUDIES!$A$3:$A$1063,STUDIES!$G$3:$G$1063,"Not Found!")</f>
        <v>0</v>
      </c>
    </row>
    <row r="3373" spans="1:6" ht="18" customHeight="1" x14ac:dyDescent="0.35">
      <c r="A3373" s="274" t="e">
        <f>MATCH(B3373,STUDIES!$A$3:$A$502,0)</f>
        <v>#N/A</v>
      </c>
      <c r="F3373" s="155">
        <f>_xlfn.XLOOKUP(B3373,STUDIES!$A$3:$A$1063,STUDIES!$G$3:$G$1063,"Not Found!")</f>
        <v>0</v>
      </c>
    </row>
    <row r="3374" spans="1:6" ht="18" customHeight="1" x14ac:dyDescent="0.35">
      <c r="A3374" s="274" t="e">
        <f>MATCH(B3374,STUDIES!$A$3:$A$502,0)</f>
        <v>#N/A</v>
      </c>
      <c r="F3374" s="155">
        <f>_xlfn.XLOOKUP(B3374,STUDIES!$A$3:$A$1063,STUDIES!$G$3:$G$1063,"Not Found!")</f>
        <v>0</v>
      </c>
    </row>
    <row r="3375" spans="1:6" ht="18" customHeight="1" x14ac:dyDescent="0.35">
      <c r="A3375" s="274" t="e">
        <f>MATCH(B3375,STUDIES!$A$3:$A$502,0)</f>
        <v>#N/A</v>
      </c>
      <c r="F3375" s="155">
        <f>_xlfn.XLOOKUP(B3375,STUDIES!$A$3:$A$1063,STUDIES!$G$3:$G$1063,"Not Found!")</f>
        <v>0</v>
      </c>
    </row>
    <row r="3376" spans="1:6" ht="18" customHeight="1" x14ac:dyDescent="0.35">
      <c r="A3376" s="274" t="e">
        <f>MATCH(B3376,STUDIES!$A$3:$A$502,0)</f>
        <v>#N/A</v>
      </c>
      <c r="F3376" s="155">
        <f>_xlfn.XLOOKUP(B3376,STUDIES!$A$3:$A$1063,STUDIES!$G$3:$G$1063,"Not Found!")</f>
        <v>0</v>
      </c>
    </row>
    <row r="3377" spans="1:6" ht="18" customHeight="1" x14ac:dyDescent="0.35">
      <c r="A3377" s="274" t="e">
        <f>MATCH(B3377,STUDIES!$A$3:$A$502,0)</f>
        <v>#N/A</v>
      </c>
      <c r="F3377" s="155">
        <f>_xlfn.XLOOKUP(B3377,STUDIES!$A$3:$A$1063,STUDIES!$G$3:$G$1063,"Not Found!")</f>
        <v>0</v>
      </c>
    </row>
    <row r="3378" spans="1:6" ht="18" customHeight="1" x14ac:dyDescent="0.35">
      <c r="A3378" s="274" t="e">
        <f>MATCH(B3378,STUDIES!$A$3:$A$502,0)</f>
        <v>#N/A</v>
      </c>
      <c r="F3378" s="155">
        <f>_xlfn.XLOOKUP(B3378,STUDIES!$A$3:$A$1063,STUDIES!$G$3:$G$1063,"Not Found!")</f>
        <v>0</v>
      </c>
    </row>
    <row r="3379" spans="1:6" ht="18" customHeight="1" x14ac:dyDescent="0.35">
      <c r="A3379" s="274" t="e">
        <f>MATCH(B3379,STUDIES!$A$3:$A$502,0)</f>
        <v>#N/A</v>
      </c>
      <c r="F3379" s="155">
        <f>_xlfn.XLOOKUP(B3379,STUDIES!$A$3:$A$1063,STUDIES!$G$3:$G$1063,"Not Found!")</f>
        <v>0</v>
      </c>
    </row>
    <row r="3380" spans="1:6" ht="18" customHeight="1" x14ac:dyDescent="0.35">
      <c r="A3380" s="274" t="e">
        <f>MATCH(B3380,STUDIES!$A$3:$A$502,0)</f>
        <v>#N/A</v>
      </c>
      <c r="F3380" s="155">
        <f>_xlfn.XLOOKUP(B3380,STUDIES!$A$3:$A$1063,STUDIES!$G$3:$G$1063,"Not Found!")</f>
        <v>0</v>
      </c>
    </row>
    <row r="3381" spans="1:6" ht="18" customHeight="1" x14ac:dyDescent="0.35">
      <c r="A3381" s="274" t="e">
        <f>MATCH(B3381,STUDIES!$A$3:$A$502,0)</f>
        <v>#N/A</v>
      </c>
      <c r="F3381" s="155">
        <f>_xlfn.XLOOKUP(B3381,STUDIES!$A$3:$A$1063,STUDIES!$G$3:$G$1063,"Not Found!")</f>
        <v>0</v>
      </c>
    </row>
    <row r="3382" spans="1:6" ht="18" customHeight="1" x14ac:dyDescent="0.35">
      <c r="A3382" s="274" t="e">
        <f>MATCH(B3382,STUDIES!$A$3:$A$502,0)</f>
        <v>#N/A</v>
      </c>
      <c r="F3382" s="155">
        <f>_xlfn.XLOOKUP(B3382,STUDIES!$A$3:$A$1063,STUDIES!$G$3:$G$1063,"Not Found!")</f>
        <v>0</v>
      </c>
    </row>
    <row r="3383" spans="1:6" ht="18" customHeight="1" x14ac:dyDescent="0.35">
      <c r="A3383" s="274" t="e">
        <f>MATCH(B3383,STUDIES!$A$3:$A$502,0)</f>
        <v>#N/A</v>
      </c>
      <c r="F3383" s="155">
        <f>_xlfn.XLOOKUP(B3383,STUDIES!$A$3:$A$1063,STUDIES!$G$3:$G$1063,"Not Found!")</f>
        <v>0</v>
      </c>
    </row>
    <row r="3384" spans="1:6" ht="18" customHeight="1" x14ac:dyDescent="0.35">
      <c r="A3384" s="274" t="e">
        <f>MATCH(B3384,STUDIES!$A$3:$A$502,0)</f>
        <v>#N/A</v>
      </c>
      <c r="F3384" s="155">
        <f>_xlfn.XLOOKUP(B3384,STUDIES!$A$3:$A$1063,STUDIES!$G$3:$G$1063,"Not Found!")</f>
        <v>0</v>
      </c>
    </row>
    <row r="3385" spans="1:6" ht="18" customHeight="1" x14ac:dyDescent="0.35">
      <c r="A3385" s="274" t="e">
        <f>MATCH(B3385,STUDIES!$A$3:$A$502,0)</f>
        <v>#N/A</v>
      </c>
      <c r="F3385" s="155">
        <f>_xlfn.XLOOKUP(B3385,STUDIES!$A$3:$A$1063,STUDIES!$G$3:$G$1063,"Not Found!")</f>
        <v>0</v>
      </c>
    </row>
    <row r="3386" spans="1:6" ht="18" customHeight="1" x14ac:dyDescent="0.35">
      <c r="A3386" s="274" t="e">
        <f>MATCH(B3386,STUDIES!$A$3:$A$502,0)</f>
        <v>#N/A</v>
      </c>
      <c r="F3386" s="155">
        <f>_xlfn.XLOOKUP(B3386,STUDIES!$A$3:$A$1063,STUDIES!$G$3:$G$1063,"Not Found!")</f>
        <v>0</v>
      </c>
    </row>
    <row r="3387" spans="1:6" ht="18" customHeight="1" x14ac:dyDescent="0.35">
      <c r="A3387" s="274" t="e">
        <f>MATCH(B3387,STUDIES!$A$3:$A$502,0)</f>
        <v>#N/A</v>
      </c>
      <c r="F3387" s="155">
        <f>_xlfn.XLOOKUP(B3387,STUDIES!$A$3:$A$1063,STUDIES!$G$3:$G$1063,"Not Found!")</f>
        <v>0</v>
      </c>
    </row>
    <row r="3388" spans="1:6" ht="18" customHeight="1" x14ac:dyDescent="0.35">
      <c r="A3388" s="274" t="e">
        <f>MATCH(B3388,STUDIES!$A$3:$A$502,0)</f>
        <v>#N/A</v>
      </c>
      <c r="F3388" s="155">
        <f>_xlfn.XLOOKUP(B3388,STUDIES!$A$3:$A$1063,STUDIES!$G$3:$G$1063,"Not Found!")</f>
        <v>0</v>
      </c>
    </row>
    <row r="3389" spans="1:6" ht="18" customHeight="1" x14ac:dyDescent="0.35">
      <c r="A3389" s="274" t="e">
        <f>MATCH(B3389,STUDIES!$A$3:$A$502,0)</f>
        <v>#N/A</v>
      </c>
      <c r="F3389" s="155">
        <f>_xlfn.XLOOKUP(B3389,STUDIES!$A$3:$A$1063,STUDIES!$G$3:$G$1063,"Not Found!")</f>
        <v>0</v>
      </c>
    </row>
    <row r="3390" spans="1:6" ht="18" customHeight="1" x14ac:dyDescent="0.35">
      <c r="A3390" s="274" t="e">
        <f>MATCH(B3390,STUDIES!$A$3:$A$502,0)</f>
        <v>#N/A</v>
      </c>
      <c r="F3390" s="155">
        <f>_xlfn.XLOOKUP(B3390,STUDIES!$A$3:$A$1063,STUDIES!$G$3:$G$1063,"Not Found!")</f>
        <v>0</v>
      </c>
    </row>
    <row r="3391" spans="1:6" ht="18" customHeight="1" x14ac:dyDescent="0.35">
      <c r="A3391" s="274" t="e">
        <f>MATCH(B3391,STUDIES!$A$3:$A$502,0)</f>
        <v>#N/A</v>
      </c>
      <c r="F3391" s="155">
        <f>_xlfn.XLOOKUP(B3391,STUDIES!$A$3:$A$1063,STUDIES!$G$3:$G$1063,"Not Found!")</f>
        <v>0</v>
      </c>
    </row>
    <row r="3392" spans="1:6" ht="18" customHeight="1" x14ac:dyDescent="0.35">
      <c r="A3392" s="274" t="e">
        <f>MATCH(B3392,STUDIES!$A$3:$A$502,0)</f>
        <v>#N/A</v>
      </c>
      <c r="F3392" s="155">
        <f>_xlfn.XLOOKUP(B3392,STUDIES!$A$3:$A$1063,STUDIES!$G$3:$G$1063,"Not Found!")</f>
        <v>0</v>
      </c>
    </row>
    <row r="3393" spans="1:6" ht="18" customHeight="1" x14ac:dyDescent="0.35">
      <c r="A3393" s="274" t="e">
        <f>MATCH(B3393,STUDIES!$A$3:$A$502,0)</f>
        <v>#N/A</v>
      </c>
      <c r="F3393" s="155">
        <f>_xlfn.XLOOKUP(B3393,STUDIES!$A$3:$A$1063,STUDIES!$G$3:$G$1063,"Not Found!")</f>
        <v>0</v>
      </c>
    </row>
    <row r="3394" spans="1:6" ht="18" customHeight="1" x14ac:dyDescent="0.35">
      <c r="A3394" s="274" t="e">
        <f>MATCH(B3394,STUDIES!$A$3:$A$502,0)</f>
        <v>#N/A</v>
      </c>
      <c r="F3394" s="155">
        <f>_xlfn.XLOOKUP(B3394,STUDIES!$A$3:$A$1063,STUDIES!$G$3:$G$1063,"Not Found!")</f>
        <v>0</v>
      </c>
    </row>
    <row r="3395" spans="1:6" ht="18" customHeight="1" x14ac:dyDescent="0.35">
      <c r="A3395" s="274" t="e">
        <f>MATCH(B3395,STUDIES!$A$3:$A$502,0)</f>
        <v>#N/A</v>
      </c>
      <c r="F3395" s="155">
        <f>_xlfn.XLOOKUP(B3395,STUDIES!$A$3:$A$1063,STUDIES!$G$3:$G$1063,"Not Found!")</f>
        <v>0</v>
      </c>
    </row>
    <row r="3396" spans="1:6" ht="18" customHeight="1" x14ac:dyDescent="0.35">
      <c r="A3396" s="274" t="e">
        <f>MATCH(B3396,STUDIES!$A$3:$A$502,0)</f>
        <v>#N/A</v>
      </c>
      <c r="F3396" s="155">
        <f>_xlfn.XLOOKUP(B3396,STUDIES!$A$3:$A$1063,STUDIES!$G$3:$G$1063,"Not Found!")</f>
        <v>0</v>
      </c>
    </row>
    <row r="3397" spans="1:6" ht="18" customHeight="1" x14ac:dyDescent="0.35">
      <c r="A3397" s="274" t="e">
        <f>MATCH(B3397,STUDIES!$A$3:$A$502,0)</f>
        <v>#N/A</v>
      </c>
      <c r="F3397" s="155">
        <f>_xlfn.XLOOKUP(B3397,STUDIES!$A$3:$A$1063,STUDIES!$G$3:$G$1063,"Not Found!")</f>
        <v>0</v>
      </c>
    </row>
    <row r="3398" spans="1:6" ht="18" customHeight="1" x14ac:dyDescent="0.35">
      <c r="A3398" s="274" t="e">
        <f>MATCH(B3398,STUDIES!$A$3:$A$502,0)</f>
        <v>#N/A</v>
      </c>
      <c r="F3398" s="155">
        <f>_xlfn.XLOOKUP(B3398,STUDIES!$A$3:$A$1063,STUDIES!$G$3:$G$1063,"Not Found!")</f>
        <v>0</v>
      </c>
    </row>
    <row r="3399" spans="1:6" ht="18" customHeight="1" x14ac:dyDescent="0.35">
      <c r="A3399" s="274" t="e">
        <f>MATCH(B3399,STUDIES!$A$3:$A$502,0)</f>
        <v>#N/A</v>
      </c>
      <c r="F3399" s="155">
        <f>_xlfn.XLOOKUP(B3399,STUDIES!$A$3:$A$1063,STUDIES!$G$3:$G$1063,"Not Found!")</f>
        <v>0</v>
      </c>
    </row>
    <row r="3400" spans="1:6" ht="18" customHeight="1" x14ac:dyDescent="0.35">
      <c r="A3400" s="274" t="e">
        <f>MATCH(B3400,STUDIES!$A$3:$A$502,0)</f>
        <v>#N/A</v>
      </c>
      <c r="F3400" s="155">
        <f>_xlfn.XLOOKUP(B3400,STUDIES!$A$3:$A$1063,STUDIES!$G$3:$G$1063,"Not Found!")</f>
        <v>0</v>
      </c>
    </row>
    <row r="3401" spans="1:6" ht="18" customHeight="1" x14ac:dyDescent="0.35">
      <c r="A3401" s="274" t="e">
        <f>MATCH(B3401,STUDIES!$A$3:$A$502,0)</f>
        <v>#N/A</v>
      </c>
      <c r="F3401" s="155">
        <f>_xlfn.XLOOKUP(B3401,STUDIES!$A$3:$A$1063,STUDIES!$G$3:$G$1063,"Not Found!")</f>
        <v>0</v>
      </c>
    </row>
    <row r="3402" spans="1:6" ht="18" customHeight="1" x14ac:dyDescent="0.35">
      <c r="A3402" s="274" t="e">
        <f>MATCH(B3402,STUDIES!$A$3:$A$502,0)</f>
        <v>#N/A</v>
      </c>
      <c r="F3402" s="155">
        <f>_xlfn.XLOOKUP(B3402,STUDIES!$A$3:$A$1063,STUDIES!$G$3:$G$1063,"Not Found!")</f>
        <v>0</v>
      </c>
    </row>
    <row r="3403" spans="1:6" ht="18" customHeight="1" x14ac:dyDescent="0.35">
      <c r="A3403" s="274" t="e">
        <f>MATCH(B3403,STUDIES!$A$3:$A$502,0)</f>
        <v>#N/A</v>
      </c>
      <c r="F3403" s="155">
        <f>_xlfn.XLOOKUP(B3403,STUDIES!$A$3:$A$1063,STUDIES!$G$3:$G$1063,"Not Found!")</f>
        <v>0</v>
      </c>
    </row>
    <row r="3404" spans="1:6" ht="18" customHeight="1" x14ac:dyDescent="0.35">
      <c r="A3404" s="274" t="e">
        <f>MATCH(B3404,STUDIES!$A$3:$A$502,0)</f>
        <v>#N/A</v>
      </c>
      <c r="F3404" s="155">
        <f>_xlfn.XLOOKUP(B3404,STUDIES!$A$3:$A$1063,STUDIES!$G$3:$G$1063,"Not Found!")</f>
        <v>0</v>
      </c>
    </row>
    <row r="3405" spans="1:6" ht="18" customHeight="1" x14ac:dyDescent="0.35">
      <c r="A3405" s="274" t="e">
        <f>MATCH(B3405,STUDIES!$A$3:$A$502,0)</f>
        <v>#N/A</v>
      </c>
      <c r="F3405" s="155">
        <f>_xlfn.XLOOKUP(B3405,STUDIES!$A$3:$A$1063,STUDIES!$G$3:$G$1063,"Not Found!")</f>
        <v>0</v>
      </c>
    </row>
    <row r="3406" spans="1:6" ht="18" customHeight="1" x14ac:dyDescent="0.35">
      <c r="A3406" s="274" t="e">
        <f>MATCH(B3406,STUDIES!$A$3:$A$502,0)</f>
        <v>#N/A</v>
      </c>
      <c r="F3406" s="155">
        <f>_xlfn.XLOOKUP(B3406,STUDIES!$A$3:$A$1063,STUDIES!$G$3:$G$1063,"Not Found!")</f>
        <v>0</v>
      </c>
    </row>
    <row r="3407" spans="1:6" ht="18" customHeight="1" x14ac:dyDescent="0.35">
      <c r="A3407" s="274" t="e">
        <f>MATCH(B3407,STUDIES!$A$3:$A$502,0)</f>
        <v>#N/A</v>
      </c>
      <c r="F3407" s="155">
        <f>_xlfn.XLOOKUP(B3407,STUDIES!$A$3:$A$1063,STUDIES!$G$3:$G$1063,"Not Found!")</f>
        <v>0</v>
      </c>
    </row>
    <row r="3408" spans="1:6" ht="18" customHeight="1" x14ac:dyDescent="0.35">
      <c r="A3408" s="274" t="e">
        <f>MATCH(B3408,STUDIES!$A$3:$A$502,0)</f>
        <v>#N/A</v>
      </c>
      <c r="F3408" s="155">
        <f>_xlfn.XLOOKUP(B3408,STUDIES!$A$3:$A$1063,STUDIES!$G$3:$G$1063,"Not Found!")</f>
        <v>0</v>
      </c>
    </row>
    <row r="3409" spans="1:6" ht="18" customHeight="1" x14ac:dyDescent="0.35">
      <c r="A3409" s="274" t="e">
        <f>MATCH(B3409,STUDIES!$A$3:$A$502,0)</f>
        <v>#N/A</v>
      </c>
      <c r="F3409" s="155">
        <f>_xlfn.XLOOKUP(B3409,STUDIES!$A$3:$A$1063,STUDIES!$G$3:$G$1063,"Not Found!")</f>
        <v>0</v>
      </c>
    </row>
    <row r="3410" spans="1:6" ht="18" customHeight="1" x14ac:dyDescent="0.35">
      <c r="A3410" s="274" t="e">
        <f>MATCH(B3410,STUDIES!$A$3:$A$502,0)</f>
        <v>#N/A</v>
      </c>
      <c r="F3410" s="155">
        <f>_xlfn.XLOOKUP(B3410,STUDIES!$A$3:$A$1063,STUDIES!$G$3:$G$1063,"Not Found!")</f>
        <v>0</v>
      </c>
    </row>
    <row r="3411" spans="1:6" ht="18" customHeight="1" x14ac:dyDescent="0.35">
      <c r="A3411" s="274" t="e">
        <f>MATCH(B3411,STUDIES!$A$3:$A$502,0)</f>
        <v>#N/A</v>
      </c>
      <c r="F3411" s="155">
        <f>_xlfn.XLOOKUP(B3411,STUDIES!$A$3:$A$1063,STUDIES!$G$3:$G$1063,"Not Found!")</f>
        <v>0</v>
      </c>
    </row>
    <row r="3412" spans="1:6" ht="18" customHeight="1" x14ac:dyDescent="0.35">
      <c r="A3412" s="274" t="e">
        <f>MATCH(B3412,STUDIES!$A$3:$A$502,0)</f>
        <v>#N/A</v>
      </c>
      <c r="F3412" s="155">
        <f>_xlfn.XLOOKUP(B3412,STUDIES!$A$3:$A$1063,STUDIES!$G$3:$G$1063,"Not Found!")</f>
        <v>0</v>
      </c>
    </row>
    <row r="3413" spans="1:6" ht="18" customHeight="1" x14ac:dyDescent="0.35">
      <c r="A3413" s="274" t="e">
        <f>MATCH(B3413,STUDIES!$A$3:$A$502,0)</f>
        <v>#N/A</v>
      </c>
      <c r="F3413" s="155">
        <f>_xlfn.XLOOKUP(B3413,STUDIES!$A$3:$A$1063,STUDIES!$G$3:$G$1063,"Not Found!")</f>
        <v>0</v>
      </c>
    </row>
    <row r="3414" spans="1:6" ht="18" customHeight="1" x14ac:dyDescent="0.35">
      <c r="A3414" s="274" t="e">
        <f>MATCH(B3414,STUDIES!$A$3:$A$502,0)</f>
        <v>#N/A</v>
      </c>
      <c r="F3414" s="155">
        <f>_xlfn.XLOOKUP(B3414,STUDIES!$A$3:$A$1063,STUDIES!$G$3:$G$1063,"Not Found!")</f>
        <v>0</v>
      </c>
    </row>
    <row r="3415" spans="1:6" ht="18" customHeight="1" x14ac:dyDescent="0.35">
      <c r="A3415" s="274" t="e">
        <f>MATCH(B3415,STUDIES!$A$3:$A$502,0)</f>
        <v>#N/A</v>
      </c>
      <c r="F3415" s="155">
        <f>_xlfn.XLOOKUP(B3415,STUDIES!$A$3:$A$1063,STUDIES!$G$3:$G$1063,"Not Found!")</f>
        <v>0</v>
      </c>
    </row>
    <row r="3416" spans="1:6" ht="18" customHeight="1" x14ac:dyDescent="0.35">
      <c r="A3416" s="274" t="e">
        <f>MATCH(B3416,STUDIES!$A$3:$A$502,0)</f>
        <v>#N/A</v>
      </c>
      <c r="F3416" s="155">
        <f>_xlfn.XLOOKUP(B3416,STUDIES!$A$3:$A$1063,STUDIES!$G$3:$G$1063,"Not Found!")</f>
        <v>0</v>
      </c>
    </row>
    <row r="3417" spans="1:6" ht="18" customHeight="1" x14ac:dyDescent="0.35">
      <c r="A3417" s="274" t="e">
        <f>MATCH(B3417,STUDIES!$A$3:$A$502,0)</f>
        <v>#N/A</v>
      </c>
      <c r="F3417" s="155">
        <f>_xlfn.XLOOKUP(B3417,STUDIES!$A$3:$A$1063,STUDIES!$G$3:$G$1063,"Not Found!")</f>
        <v>0</v>
      </c>
    </row>
    <row r="3418" spans="1:6" ht="18" customHeight="1" x14ac:dyDescent="0.35">
      <c r="A3418" s="274" t="e">
        <f>MATCH(B3418,STUDIES!$A$3:$A$502,0)</f>
        <v>#N/A</v>
      </c>
      <c r="F3418" s="155">
        <f>_xlfn.XLOOKUP(B3418,STUDIES!$A$3:$A$1063,STUDIES!$G$3:$G$1063,"Not Found!")</f>
        <v>0</v>
      </c>
    </row>
    <row r="3419" spans="1:6" ht="18" customHeight="1" x14ac:dyDescent="0.35">
      <c r="A3419" s="274" t="e">
        <f>MATCH(B3419,STUDIES!$A$3:$A$502,0)</f>
        <v>#N/A</v>
      </c>
      <c r="F3419" s="155">
        <f>_xlfn.XLOOKUP(B3419,STUDIES!$A$3:$A$1063,STUDIES!$G$3:$G$1063,"Not Found!")</f>
        <v>0</v>
      </c>
    </row>
    <row r="3420" spans="1:6" ht="18" customHeight="1" x14ac:dyDescent="0.35">
      <c r="A3420" s="274" t="e">
        <f>MATCH(B3420,STUDIES!$A$3:$A$502,0)</f>
        <v>#N/A</v>
      </c>
      <c r="F3420" s="155">
        <f>_xlfn.XLOOKUP(B3420,STUDIES!$A$3:$A$1063,STUDIES!$G$3:$G$1063,"Not Found!")</f>
        <v>0</v>
      </c>
    </row>
    <row r="3421" spans="1:6" ht="18" customHeight="1" x14ac:dyDescent="0.35">
      <c r="A3421" s="274" t="e">
        <f>MATCH(B3421,STUDIES!$A$3:$A$502,0)</f>
        <v>#N/A</v>
      </c>
      <c r="F3421" s="155">
        <f>_xlfn.XLOOKUP(B3421,STUDIES!$A$3:$A$1063,STUDIES!$G$3:$G$1063,"Not Found!")</f>
        <v>0</v>
      </c>
    </row>
    <row r="3422" spans="1:6" ht="18" customHeight="1" x14ac:dyDescent="0.35">
      <c r="A3422" s="274" t="e">
        <f>MATCH(B3422,STUDIES!$A$3:$A$502,0)</f>
        <v>#N/A</v>
      </c>
      <c r="F3422" s="155">
        <f>_xlfn.XLOOKUP(B3422,STUDIES!$A$3:$A$1063,STUDIES!$G$3:$G$1063,"Not Found!")</f>
        <v>0</v>
      </c>
    </row>
    <row r="3423" spans="1:6" ht="18" customHeight="1" x14ac:dyDescent="0.35">
      <c r="A3423" s="274" t="e">
        <f>MATCH(B3423,STUDIES!$A$3:$A$502,0)</f>
        <v>#N/A</v>
      </c>
      <c r="F3423" s="155">
        <f>_xlfn.XLOOKUP(B3423,STUDIES!$A$3:$A$1063,STUDIES!$G$3:$G$1063,"Not Found!")</f>
        <v>0</v>
      </c>
    </row>
    <row r="3424" spans="1:6" ht="18" customHeight="1" x14ac:dyDescent="0.35">
      <c r="A3424" s="274" t="e">
        <f>MATCH(B3424,STUDIES!$A$3:$A$502,0)</f>
        <v>#N/A</v>
      </c>
      <c r="F3424" s="155">
        <f>_xlfn.XLOOKUP(B3424,STUDIES!$A$3:$A$1063,STUDIES!$G$3:$G$1063,"Not Found!")</f>
        <v>0</v>
      </c>
    </row>
    <row r="3425" spans="1:6" ht="18" customHeight="1" x14ac:dyDescent="0.35">
      <c r="A3425" s="274" t="e">
        <f>MATCH(B3425,STUDIES!$A$3:$A$502,0)</f>
        <v>#N/A</v>
      </c>
      <c r="F3425" s="155">
        <f>_xlfn.XLOOKUP(B3425,STUDIES!$A$3:$A$1063,STUDIES!$G$3:$G$1063,"Not Found!")</f>
        <v>0</v>
      </c>
    </row>
    <row r="3426" spans="1:6" ht="18" customHeight="1" x14ac:dyDescent="0.35">
      <c r="A3426" s="274" t="e">
        <f>MATCH(B3426,STUDIES!$A$3:$A$502,0)</f>
        <v>#N/A</v>
      </c>
      <c r="F3426" s="155">
        <f>_xlfn.XLOOKUP(B3426,STUDIES!$A$3:$A$1063,STUDIES!$G$3:$G$1063,"Not Found!")</f>
        <v>0</v>
      </c>
    </row>
    <row r="3427" spans="1:6" ht="18" customHeight="1" x14ac:dyDescent="0.35">
      <c r="A3427" s="274" t="e">
        <f>MATCH(B3427,STUDIES!$A$3:$A$502,0)</f>
        <v>#N/A</v>
      </c>
      <c r="F3427" s="155">
        <f>_xlfn.XLOOKUP(B3427,STUDIES!$A$3:$A$1063,STUDIES!$G$3:$G$1063,"Not Found!")</f>
        <v>0</v>
      </c>
    </row>
    <row r="3428" spans="1:6" ht="18" customHeight="1" x14ac:dyDescent="0.35">
      <c r="A3428" s="274" t="e">
        <f>MATCH(B3428,STUDIES!$A$3:$A$502,0)</f>
        <v>#N/A</v>
      </c>
      <c r="F3428" s="155">
        <f>_xlfn.XLOOKUP(B3428,STUDIES!$A$3:$A$1063,STUDIES!$G$3:$G$1063,"Not Found!")</f>
        <v>0</v>
      </c>
    </row>
    <row r="3429" spans="1:6" ht="18" customHeight="1" x14ac:dyDescent="0.35">
      <c r="A3429" s="274" t="e">
        <f>MATCH(B3429,STUDIES!$A$3:$A$502,0)</f>
        <v>#N/A</v>
      </c>
      <c r="F3429" s="155">
        <f>_xlfn.XLOOKUP(B3429,STUDIES!$A$3:$A$1063,STUDIES!$G$3:$G$1063,"Not Found!")</f>
        <v>0</v>
      </c>
    </row>
    <row r="3430" spans="1:6" ht="18" customHeight="1" x14ac:dyDescent="0.35">
      <c r="A3430" s="274" t="e">
        <f>MATCH(B3430,STUDIES!$A$3:$A$502,0)</f>
        <v>#N/A</v>
      </c>
      <c r="F3430" s="155">
        <f>_xlfn.XLOOKUP(B3430,STUDIES!$A$3:$A$1063,STUDIES!$G$3:$G$1063,"Not Found!")</f>
        <v>0</v>
      </c>
    </row>
    <row r="3431" spans="1:6" ht="18" customHeight="1" x14ac:dyDescent="0.35">
      <c r="A3431" s="274" t="e">
        <f>MATCH(B3431,STUDIES!$A$3:$A$502,0)</f>
        <v>#N/A</v>
      </c>
      <c r="F3431" s="155">
        <f>_xlfn.XLOOKUP(B3431,STUDIES!$A$3:$A$1063,STUDIES!$G$3:$G$1063,"Not Found!")</f>
        <v>0</v>
      </c>
    </row>
    <row r="3432" spans="1:6" ht="18" customHeight="1" x14ac:dyDescent="0.35">
      <c r="A3432" s="274" t="e">
        <f>MATCH(B3432,STUDIES!$A$3:$A$502,0)</f>
        <v>#N/A</v>
      </c>
      <c r="F3432" s="155">
        <f>_xlfn.XLOOKUP(B3432,STUDIES!$A$3:$A$1063,STUDIES!$G$3:$G$1063,"Not Found!")</f>
        <v>0</v>
      </c>
    </row>
    <row r="3433" spans="1:6" ht="18" customHeight="1" x14ac:dyDescent="0.35">
      <c r="A3433" s="274" t="e">
        <f>MATCH(B3433,STUDIES!$A$3:$A$502,0)</f>
        <v>#N/A</v>
      </c>
      <c r="F3433" s="155">
        <f>_xlfn.XLOOKUP(B3433,STUDIES!$A$3:$A$1063,STUDIES!$G$3:$G$1063,"Not Found!")</f>
        <v>0</v>
      </c>
    </row>
    <row r="3434" spans="1:6" ht="18" customHeight="1" x14ac:dyDescent="0.35">
      <c r="A3434" s="274" t="e">
        <f>MATCH(B3434,STUDIES!$A$3:$A$502,0)</f>
        <v>#N/A</v>
      </c>
      <c r="F3434" s="155">
        <f>_xlfn.XLOOKUP(B3434,STUDIES!$A$3:$A$1063,STUDIES!$G$3:$G$1063,"Not Found!")</f>
        <v>0</v>
      </c>
    </row>
    <row r="3435" spans="1:6" ht="18" customHeight="1" x14ac:dyDescent="0.35">
      <c r="A3435" s="274" t="e">
        <f>MATCH(B3435,STUDIES!$A$3:$A$502,0)</f>
        <v>#N/A</v>
      </c>
      <c r="F3435" s="155">
        <f>_xlfn.XLOOKUP(B3435,STUDIES!$A$3:$A$1063,STUDIES!$G$3:$G$1063,"Not Found!")</f>
        <v>0</v>
      </c>
    </row>
    <row r="3436" spans="1:6" ht="18" customHeight="1" x14ac:dyDescent="0.35">
      <c r="A3436" s="274" t="e">
        <f>MATCH(B3436,STUDIES!$A$3:$A$502,0)</f>
        <v>#N/A</v>
      </c>
      <c r="F3436" s="155">
        <f>_xlfn.XLOOKUP(B3436,STUDIES!$A$3:$A$1063,STUDIES!$G$3:$G$1063,"Not Found!")</f>
        <v>0</v>
      </c>
    </row>
    <row r="3437" spans="1:6" ht="18" customHeight="1" x14ac:dyDescent="0.35">
      <c r="A3437" s="274" t="e">
        <f>MATCH(B3437,STUDIES!$A$3:$A$502,0)</f>
        <v>#N/A</v>
      </c>
      <c r="F3437" s="155">
        <f>_xlfn.XLOOKUP(B3437,STUDIES!$A$3:$A$1063,STUDIES!$G$3:$G$1063,"Not Found!")</f>
        <v>0</v>
      </c>
    </row>
    <row r="3438" spans="1:6" ht="18" customHeight="1" x14ac:dyDescent="0.35">
      <c r="A3438" s="274" t="e">
        <f>MATCH(B3438,STUDIES!$A$3:$A$502,0)</f>
        <v>#N/A</v>
      </c>
      <c r="F3438" s="155">
        <f>_xlfn.XLOOKUP(B3438,STUDIES!$A$3:$A$1063,STUDIES!$G$3:$G$1063,"Not Found!")</f>
        <v>0</v>
      </c>
    </row>
    <row r="3439" spans="1:6" ht="18" customHeight="1" x14ac:dyDescent="0.35">
      <c r="A3439" s="274" t="e">
        <f>MATCH(B3439,STUDIES!$A$3:$A$502,0)</f>
        <v>#N/A</v>
      </c>
      <c r="F3439" s="155">
        <f>_xlfn.XLOOKUP(B3439,STUDIES!$A$3:$A$1063,STUDIES!$G$3:$G$1063,"Not Found!")</f>
        <v>0</v>
      </c>
    </row>
    <row r="3440" spans="1:6" ht="18" customHeight="1" x14ac:dyDescent="0.35">
      <c r="A3440" s="274" t="e">
        <f>MATCH(B3440,STUDIES!$A$3:$A$502,0)</f>
        <v>#N/A</v>
      </c>
      <c r="F3440" s="155">
        <f>_xlfn.XLOOKUP(B3440,STUDIES!$A$3:$A$1063,STUDIES!$G$3:$G$1063,"Not Found!")</f>
        <v>0</v>
      </c>
    </row>
    <row r="3441" spans="1:6" ht="18" customHeight="1" x14ac:dyDescent="0.35">
      <c r="A3441" s="274" t="e">
        <f>MATCH(B3441,STUDIES!$A$3:$A$502,0)</f>
        <v>#N/A</v>
      </c>
      <c r="F3441" s="155">
        <f>_xlfn.XLOOKUP(B3441,STUDIES!$A$3:$A$1063,STUDIES!$G$3:$G$1063,"Not Found!")</f>
        <v>0</v>
      </c>
    </row>
    <row r="3442" spans="1:6" ht="18" customHeight="1" x14ac:dyDescent="0.35">
      <c r="A3442" s="274" t="e">
        <f>MATCH(B3442,STUDIES!$A$3:$A$502,0)</f>
        <v>#N/A</v>
      </c>
      <c r="F3442" s="155">
        <f>_xlfn.XLOOKUP(B3442,STUDIES!$A$3:$A$1063,STUDIES!$G$3:$G$1063,"Not Found!")</f>
        <v>0</v>
      </c>
    </row>
    <row r="3443" spans="1:6" ht="18" customHeight="1" x14ac:dyDescent="0.35">
      <c r="A3443" s="274" t="e">
        <f>MATCH(B3443,STUDIES!$A$3:$A$502,0)</f>
        <v>#N/A</v>
      </c>
      <c r="F3443" s="155">
        <f>_xlfn.XLOOKUP(B3443,STUDIES!$A$3:$A$1063,STUDIES!$G$3:$G$1063,"Not Found!")</f>
        <v>0</v>
      </c>
    </row>
    <row r="3444" spans="1:6" ht="18" customHeight="1" x14ac:dyDescent="0.35">
      <c r="A3444" s="274" t="e">
        <f>MATCH(B3444,STUDIES!$A$3:$A$502,0)</f>
        <v>#N/A</v>
      </c>
      <c r="F3444" s="155">
        <f>_xlfn.XLOOKUP(B3444,STUDIES!$A$3:$A$1063,STUDIES!$G$3:$G$1063,"Not Found!")</f>
        <v>0</v>
      </c>
    </row>
    <row r="3445" spans="1:6" ht="18" customHeight="1" x14ac:dyDescent="0.35">
      <c r="A3445" s="274" t="e">
        <f>MATCH(B3445,STUDIES!$A$3:$A$502,0)</f>
        <v>#N/A</v>
      </c>
      <c r="F3445" s="155">
        <f>_xlfn.XLOOKUP(B3445,STUDIES!$A$3:$A$1063,STUDIES!$G$3:$G$1063,"Not Found!")</f>
        <v>0</v>
      </c>
    </row>
    <row r="3446" spans="1:6" ht="18" customHeight="1" x14ac:dyDescent="0.35">
      <c r="A3446" s="274" t="e">
        <f>MATCH(B3446,STUDIES!$A$3:$A$502,0)</f>
        <v>#N/A</v>
      </c>
      <c r="F3446" s="155">
        <f>_xlfn.XLOOKUP(B3446,STUDIES!$A$3:$A$1063,STUDIES!$G$3:$G$1063,"Not Found!")</f>
        <v>0</v>
      </c>
    </row>
    <row r="3447" spans="1:6" ht="18" customHeight="1" x14ac:dyDescent="0.35">
      <c r="A3447" s="274" t="e">
        <f>MATCH(B3447,STUDIES!$A$3:$A$502,0)</f>
        <v>#N/A</v>
      </c>
      <c r="F3447" s="155">
        <f>_xlfn.XLOOKUP(B3447,STUDIES!$A$3:$A$1063,STUDIES!$G$3:$G$1063,"Not Found!")</f>
        <v>0</v>
      </c>
    </row>
    <row r="3448" spans="1:6" ht="18" customHeight="1" x14ac:dyDescent="0.35">
      <c r="A3448" s="274" t="e">
        <f>MATCH(B3448,STUDIES!$A$3:$A$502,0)</f>
        <v>#N/A</v>
      </c>
      <c r="F3448" s="155">
        <f>_xlfn.XLOOKUP(B3448,STUDIES!$A$3:$A$1063,STUDIES!$G$3:$G$1063,"Not Found!")</f>
        <v>0</v>
      </c>
    </row>
    <row r="3449" spans="1:6" ht="18" customHeight="1" x14ac:dyDescent="0.35">
      <c r="A3449" s="274" t="e">
        <f>MATCH(B3449,STUDIES!$A$3:$A$502,0)</f>
        <v>#N/A</v>
      </c>
      <c r="F3449" s="155">
        <f>_xlfn.XLOOKUP(B3449,STUDIES!$A$3:$A$1063,STUDIES!$G$3:$G$1063,"Not Found!")</f>
        <v>0</v>
      </c>
    </row>
    <row r="3450" spans="1:6" ht="18" customHeight="1" x14ac:dyDescent="0.35">
      <c r="A3450" s="274" t="e">
        <f>MATCH(B3450,STUDIES!$A$3:$A$502,0)</f>
        <v>#N/A</v>
      </c>
      <c r="F3450" s="155">
        <f>_xlfn.XLOOKUP(B3450,STUDIES!$A$3:$A$1063,STUDIES!$G$3:$G$1063,"Not Found!")</f>
        <v>0</v>
      </c>
    </row>
    <row r="3451" spans="1:6" ht="18" customHeight="1" x14ac:dyDescent="0.35">
      <c r="A3451" s="274" t="e">
        <f>MATCH(B3451,STUDIES!$A$3:$A$502,0)</f>
        <v>#N/A</v>
      </c>
      <c r="F3451" s="155">
        <f>_xlfn.XLOOKUP(B3451,STUDIES!$A$3:$A$1063,STUDIES!$G$3:$G$1063,"Not Found!")</f>
        <v>0</v>
      </c>
    </row>
    <row r="3452" spans="1:6" ht="18" customHeight="1" x14ac:dyDescent="0.35">
      <c r="A3452" s="274" t="e">
        <f>MATCH(B3452,STUDIES!$A$3:$A$502,0)</f>
        <v>#N/A</v>
      </c>
      <c r="F3452" s="155">
        <f>_xlfn.XLOOKUP(B3452,STUDIES!$A$3:$A$1063,STUDIES!$G$3:$G$1063,"Not Found!")</f>
        <v>0</v>
      </c>
    </row>
    <row r="3453" spans="1:6" ht="18" customHeight="1" x14ac:dyDescent="0.35">
      <c r="A3453" s="274" t="e">
        <f>MATCH(B3453,STUDIES!$A$3:$A$502,0)</f>
        <v>#N/A</v>
      </c>
      <c r="F3453" s="155">
        <f>_xlfn.XLOOKUP(B3453,STUDIES!$A$3:$A$1063,STUDIES!$G$3:$G$1063,"Not Found!")</f>
        <v>0</v>
      </c>
    </row>
    <row r="3454" spans="1:6" ht="18" customHeight="1" x14ac:dyDescent="0.35">
      <c r="A3454" s="274" t="e">
        <f>MATCH(B3454,STUDIES!$A$3:$A$502,0)</f>
        <v>#N/A</v>
      </c>
      <c r="F3454" s="155">
        <f>_xlfn.XLOOKUP(B3454,STUDIES!$A$3:$A$1063,STUDIES!$G$3:$G$1063,"Not Found!")</f>
        <v>0</v>
      </c>
    </row>
    <row r="3455" spans="1:6" ht="18" customHeight="1" x14ac:dyDescent="0.35">
      <c r="A3455" s="274" t="e">
        <f>MATCH(B3455,STUDIES!$A$3:$A$502,0)</f>
        <v>#N/A</v>
      </c>
      <c r="F3455" s="155">
        <f>_xlfn.XLOOKUP(B3455,STUDIES!$A$3:$A$1063,STUDIES!$G$3:$G$1063,"Not Found!")</f>
        <v>0</v>
      </c>
    </row>
    <row r="3456" spans="1:6" ht="18" customHeight="1" x14ac:dyDescent="0.35">
      <c r="A3456" s="274" t="e">
        <f>MATCH(B3456,STUDIES!$A$3:$A$502,0)</f>
        <v>#N/A</v>
      </c>
      <c r="F3456" s="155">
        <f>_xlfn.XLOOKUP(B3456,STUDIES!$A$3:$A$1063,STUDIES!$G$3:$G$1063,"Not Found!")</f>
        <v>0</v>
      </c>
    </row>
    <row r="3457" spans="1:6" ht="18" customHeight="1" x14ac:dyDescent="0.35">
      <c r="A3457" s="274" t="e">
        <f>MATCH(B3457,STUDIES!$A$3:$A$502,0)</f>
        <v>#N/A</v>
      </c>
      <c r="F3457" s="155">
        <f>_xlfn.XLOOKUP(B3457,STUDIES!$A$3:$A$1063,STUDIES!$G$3:$G$1063,"Not Found!")</f>
        <v>0</v>
      </c>
    </row>
    <row r="3458" spans="1:6" ht="18" customHeight="1" x14ac:dyDescent="0.35">
      <c r="A3458" s="274" t="e">
        <f>MATCH(B3458,STUDIES!$A$3:$A$502,0)</f>
        <v>#N/A</v>
      </c>
      <c r="F3458" s="155">
        <f>_xlfn.XLOOKUP(B3458,STUDIES!$A$3:$A$1063,STUDIES!$G$3:$G$1063,"Not Found!")</f>
        <v>0</v>
      </c>
    </row>
    <row r="3459" spans="1:6" ht="18" customHeight="1" x14ac:dyDescent="0.35">
      <c r="A3459" s="274" t="e">
        <f>MATCH(B3459,STUDIES!$A$3:$A$502,0)</f>
        <v>#N/A</v>
      </c>
      <c r="F3459" s="155">
        <f>_xlfn.XLOOKUP(B3459,STUDIES!$A$3:$A$1063,STUDIES!$G$3:$G$1063,"Not Found!")</f>
        <v>0</v>
      </c>
    </row>
    <row r="3460" spans="1:6" ht="18" customHeight="1" x14ac:dyDescent="0.35">
      <c r="A3460" s="274" t="e">
        <f>MATCH(B3460,STUDIES!$A$3:$A$502,0)</f>
        <v>#N/A</v>
      </c>
      <c r="F3460" s="155">
        <f>_xlfn.XLOOKUP(B3460,STUDIES!$A$3:$A$1063,STUDIES!$G$3:$G$1063,"Not Found!")</f>
        <v>0</v>
      </c>
    </row>
    <row r="3461" spans="1:6" ht="18" customHeight="1" x14ac:dyDescent="0.35">
      <c r="A3461" s="274" t="e">
        <f>MATCH(B3461,STUDIES!$A$3:$A$502,0)</f>
        <v>#N/A</v>
      </c>
      <c r="F3461" s="155">
        <f>_xlfn.XLOOKUP(B3461,STUDIES!$A$3:$A$1063,STUDIES!$G$3:$G$1063,"Not Found!")</f>
        <v>0</v>
      </c>
    </row>
    <row r="3462" spans="1:6" ht="18" customHeight="1" x14ac:dyDescent="0.35">
      <c r="A3462" s="274" t="e">
        <f>MATCH(B3462,STUDIES!$A$3:$A$502,0)</f>
        <v>#N/A</v>
      </c>
      <c r="F3462" s="155">
        <f>_xlfn.XLOOKUP(B3462,STUDIES!$A$3:$A$1063,STUDIES!$G$3:$G$1063,"Not Found!")</f>
        <v>0</v>
      </c>
    </row>
    <row r="3463" spans="1:6" ht="18" customHeight="1" x14ac:dyDescent="0.35">
      <c r="A3463" s="274" t="e">
        <f>MATCH(B3463,STUDIES!$A$3:$A$502,0)</f>
        <v>#N/A</v>
      </c>
      <c r="F3463" s="155">
        <f>_xlfn.XLOOKUP(B3463,STUDIES!$A$3:$A$1063,STUDIES!$G$3:$G$1063,"Not Found!")</f>
        <v>0</v>
      </c>
    </row>
    <row r="3464" spans="1:6" ht="18" customHeight="1" x14ac:dyDescent="0.35">
      <c r="A3464" s="274" t="e">
        <f>MATCH(B3464,STUDIES!$A$3:$A$502,0)</f>
        <v>#N/A</v>
      </c>
      <c r="F3464" s="155">
        <f>_xlfn.XLOOKUP(B3464,STUDIES!$A$3:$A$1063,STUDIES!$G$3:$G$1063,"Not Found!")</f>
        <v>0</v>
      </c>
    </row>
    <row r="3465" spans="1:6" ht="18" customHeight="1" x14ac:dyDescent="0.35">
      <c r="A3465" s="274" t="e">
        <f>MATCH(B3465,STUDIES!$A$3:$A$502,0)</f>
        <v>#N/A</v>
      </c>
      <c r="F3465" s="155">
        <f>_xlfn.XLOOKUP(B3465,STUDIES!$A$3:$A$1063,STUDIES!$G$3:$G$1063,"Not Found!")</f>
        <v>0</v>
      </c>
    </row>
    <row r="3466" spans="1:6" ht="18" customHeight="1" x14ac:dyDescent="0.35">
      <c r="A3466" s="274" t="e">
        <f>MATCH(B3466,STUDIES!$A$3:$A$502,0)</f>
        <v>#N/A</v>
      </c>
      <c r="F3466" s="155">
        <f>_xlfn.XLOOKUP(B3466,STUDIES!$A$3:$A$1063,STUDIES!$G$3:$G$1063,"Not Found!")</f>
        <v>0</v>
      </c>
    </row>
    <row r="3467" spans="1:6" ht="18" customHeight="1" x14ac:dyDescent="0.35">
      <c r="A3467" s="274" t="e">
        <f>MATCH(B3467,STUDIES!$A$3:$A$502,0)</f>
        <v>#N/A</v>
      </c>
      <c r="F3467" s="155">
        <f>_xlfn.XLOOKUP(B3467,STUDIES!$A$3:$A$1063,STUDIES!$G$3:$G$1063,"Not Found!")</f>
        <v>0</v>
      </c>
    </row>
    <row r="3468" spans="1:6" ht="18" customHeight="1" x14ac:dyDescent="0.35">
      <c r="A3468" s="274" t="e">
        <f>MATCH(B3468,STUDIES!$A$3:$A$502,0)</f>
        <v>#N/A</v>
      </c>
      <c r="F3468" s="155">
        <f>_xlfn.XLOOKUP(B3468,STUDIES!$A$3:$A$1063,STUDIES!$G$3:$G$1063,"Not Found!")</f>
        <v>0</v>
      </c>
    </row>
    <row r="3469" spans="1:6" ht="18" customHeight="1" x14ac:dyDescent="0.35">
      <c r="A3469" s="274" t="e">
        <f>MATCH(B3469,STUDIES!$A$3:$A$502,0)</f>
        <v>#N/A</v>
      </c>
      <c r="F3469" s="155">
        <f>_xlfn.XLOOKUP(B3469,STUDIES!$A$3:$A$1063,STUDIES!$G$3:$G$1063,"Not Found!")</f>
        <v>0</v>
      </c>
    </row>
    <row r="3470" spans="1:6" ht="18" customHeight="1" x14ac:dyDescent="0.35">
      <c r="A3470" s="274" t="e">
        <f>MATCH(B3470,STUDIES!$A$3:$A$502,0)</f>
        <v>#N/A</v>
      </c>
      <c r="F3470" s="155">
        <f>_xlfn.XLOOKUP(B3470,STUDIES!$A$3:$A$1063,STUDIES!$G$3:$G$1063,"Not Found!")</f>
        <v>0</v>
      </c>
    </row>
    <row r="3471" spans="1:6" ht="18" customHeight="1" x14ac:dyDescent="0.35">
      <c r="A3471" s="274" t="e">
        <f>MATCH(B3471,STUDIES!$A$3:$A$502,0)</f>
        <v>#N/A</v>
      </c>
      <c r="F3471" s="155">
        <f>_xlfn.XLOOKUP(B3471,STUDIES!$A$3:$A$1063,STUDIES!$G$3:$G$1063,"Not Found!")</f>
        <v>0</v>
      </c>
    </row>
    <row r="3472" spans="1:6" ht="18" customHeight="1" x14ac:dyDescent="0.35">
      <c r="A3472" s="274" t="e">
        <f>MATCH(B3472,STUDIES!$A$3:$A$502,0)</f>
        <v>#N/A</v>
      </c>
      <c r="F3472" s="155">
        <f>_xlfn.XLOOKUP(B3472,STUDIES!$A$3:$A$1063,STUDIES!$G$3:$G$1063,"Not Found!")</f>
        <v>0</v>
      </c>
    </row>
    <row r="3473" spans="1:6" ht="18" customHeight="1" x14ac:dyDescent="0.35">
      <c r="A3473" s="274" t="e">
        <f>MATCH(B3473,STUDIES!$A$3:$A$502,0)</f>
        <v>#N/A</v>
      </c>
      <c r="F3473" s="155">
        <f>_xlfn.XLOOKUP(B3473,STUDIES!$A$3:$A$1063,STUDIES!$G$3:$G$1063,"Not Found!")</f>
        <v>0</v>
      </c>
    </row>
    <row r="3474" spans="1:6" ht="18" customHeight="1" x14ac:dyDescent="0.35">
      <c r="A3474" s="274" t="e">
        <f>MATCH(B3474,STUDIES!$A$3:$A$502,0)</f>
        <v>#N/A</v>
      </c>
      <c r="F3474" s="155">
        <f>_xlfn.XLOOKUP(B3474,STUDIES!$A$3:$A$1063,STUDIES!$G$3:$G$1063,"Not Found!")</f>
        <v>0</v>
      </c>
    </row>
    <row r="3475" spans="1:6" ht="18" customHeight="1" x14ac:dyDescent="0.35">
      <c r="A3475" s="274" t="e">
        <f>MATCH(B3475,STUDIES!$A$3:$A$502,0)</f>
        <v>#N/A</v>
      </c>
      <c r="F3475" s="155">
        <f>_xlfn.XLOOKUP(B3475,STUDIES!$A$3:$A$1063,STUDIES!$G$3:$G$1063,"Not Found!")</f>
        <v>0</v>
      </c>
    </row>
    <row r="3476" spans="1:6" ht="18" customHeight="1" x14ac:dyDescent="0.35">
      <c r="A3476" s="274" t="e">
        <f>MATCH(B3476,STUDIES!$A$3:$A$502,0)</f>
        <v>#N/A</v>
      </c>
      <c r="F3476" s="155">
        <f>_xlfn.XLOOKUP(B3476,STUDIES!$A$3:$A$1063,STUDIES!$G$3:$G$1063,"Not Found!")</f>
        <v>0</v>
      </c>
    </row>
    <row r="3477" spans="1:6" ht="18" customHeight="1" x14ac:dyDescent="0.35">
      <c r="A3477" s="274" t="e">
        <f>MATCH(B3477,STUDIES!$A$3:$A$502,0)</f>
        <v>#N/A</v>
      </c>
      <c r="F3477" s="155">
        <f>_xlfn.XLOOKUP(B3477,STUDIES!$A$3:$A$1063,STUDIES!$G$3:$G$1063,"Not Found!")</f>
        <v>0</v>
      </c>
    </row>
    <row r="3478" spans="1:6" ht="18" customHeight="1" x14ac:dyDescent="0.35">
      <c r="A3478" s="274" t="e">
        <f>MATCH(B3478,STUDIES!$A$3:$A$502,0)</f>
        <v>#N/A</v>
      </c>
      <c r="F3478" s="155">
        <f>_xlfn.XLOOKUP(B3478,STUDIES!$A$3:$A$1063,STUDIES!$G$3:$G$1063,"Not Found!")</f>
        <v>0</v>
      </c>
    </row>
    <row r="3479" spans="1:6" ht="18" customHeight="1" x14ac:dyDescent="0.35">
      <c r="A3479" s="274" t="e">
        <f>MATCH(B3479,STUDIES!$A$3:$A$502,0)</f>
        <v>#N/A</v>
      </c>
      <c r="F3479" s="155">
        <f>_xlfn.XLOOKUP(B3479,STUDIES!$A$3:$A$1063,STUDIES!$G$3:$G$1063,"Not Found!")</f>
        <v>0</v>
      </c>
    </row>
    <row r="3480" spans="1:6" ht="18" customHeight="1" x14ac:dyDescent="0.35">
      <c r="A3480" s="274" t="e">
        <f>MATCH(B3480,STUDIES!$A$3:$A$502,0)</f>
        <v>#N/A</v>
      </c>
      <c r="F3480" s="155">
        <f>_xlfn.XLOOKUP(B3480,STUDIES!$A$3:$A$1063,STUDIES!$G$3:$G$1063,"Not Found!")</f>
        <v>0</v>
      </c>
    </row>
    <row r="3481" spans="1:6" ht="18" customHeight="1" x14ac:dyDescent="0.35">
      <c r="A3481" s="274" t="e">
        <f>MATCH(B3481,STUDIES!$A$3:$A$502,0)</f>
        <v>#N/A</v>
      </c>
      <c r="F3481" s="155">
        <f>_xlfn.XLOOKUP(B3481,STUDIES!$A$3:$A$1063,STUDIES!$G$3:$G$1063,"Not Found!")</f>
        <v>0</v>
      </c>
    </row>
    <row r="3482" spans="1:6" ht="18" customHeight="1" x14ac:dyDescent="0.35">
      <c r="A3482" s="274" t="e">
        <f>MATCH(B3482,STUDIES!$A$3:$A$502,0)</f>
        <v>#N/A</v>
      </c>
      <c r="F3482" s="155">
        <f>_xlfn.XLOOKUP(B3482,STUDIES!$A$3:$A$1063,STUDIES!$G$3:$G$1063,"Not Found!")</f>
        <v>0</v>
      </c>
    </row>
    <row r="3483" spans="1:6" ht="18" customHeight="1" x14ac:dyDescent="0.35">
      <c r="A3483" s="274" t="e">
        <f>MATCH(B3483,STUDIES!$A$3:$A$502,0)</f>
        <v>#N/A</v>
      </c>
      <c r="F3483" s="155">
        <f>_xlfn.XLOOKUP(B3483,STUDIES!$A$3:$A$1063,STUDIES!$G$3:$G$1063,"Not Found!")</f>
        <v>0</v>
      </c>
    </row>
    <row r="3484" spans="1:6" ht="18" customHeight="1" x14ac:dyDescent="0.35">
      <c r="A3484" s="274" t="e">
        <f>MATCH(B3484,STUDIES!$A$3:$A$502,0)</f>
        <v>#N/A</v>
      </c>
      <c r="F3484" s="155">
        <f>_xlfn.XLOOKUP(B3484,STUDIES!$A$3:$A$1063,STUDIES!$G$3:$G$1063,"Not Found!")</f>
        <v>0</v>
      </c>
    </row>
    <row r="3485" spans="1:6" ht="18" customHeight="1" x14ac:dyDescent="0.35">
      <c r="A3485" s="274" t="e">
        <f>MATCH(B3485,STUDIES!$A$3:$A$502,0)</f>
        <v>#N/A</v>
      </c>
      <c r="F3485" s="155">
        <f>_xlfn.XLOOKUP(B3485,STUDIES!$A$3:$A$1063,STUDIES!$G$3:$G$1063,"Not Found!")</f>
        <v>0</v>
      </c>
    </row>
    <row r="3486" spans="1:6" ht="18" customHeight="1" x14ac:dyDescent="0.35">
      <c r="A3486" s="274" t="e">
        <f>MATCH(B3486,STUDIES!$A$3:$A$502,0)</f>
        <v>#N/A</v>
      </c>
      <c r="F3486" s="155">
        <f>_xlfn.XLOOKUP(B3486,STUDIES!$A$3:$A$1063,STUDIES!$G$3:$G$1063,"Not Found!")</f>
        <v>0</v>
      </c>
    </row>
    <row r="3487" spans="1:6" ht="18" customHeight="1" x14ac:dyDescent="0.35">
      <c r="A3487" s="274" t="e">
        <f>MATCH(B3487,STUDIES!$A$3:$A$502,0)</f>
        <v>#N/A</v>
      </c>
      <c r="F3487" s="155">
        <f>_xlfn.XLOOKUP(B3487,STUDIES!$A$3:$A$1063,STUDIES!$G$3:$G$1063,"Not Found!")</f>
        <v>0</v>
      </c>
    </row>
    <row r="3488" spans="1:6" ht="18" customHeight="1" x14ac:dyDescent="0.35">
      <c r="A3488" s="274" t="e">
        <f>MATCH(B3488,STUDIES!$A$3:$A$502,0)</f>
        <v>#N/A</v>
      </c>
      <c r="F3488" s="155">
        <f>_xlfn.XLOOKUP(B3488,STUDIES!$A$3:$A$1063,STUDIES!$G$3:$G$1063,"Not Found!")</f>
        <v>0</v>
      </c>
    </row>
    <row r="3489" spans="1:6" ht="18" customHeight="1" x14ac:dyDescent="0.35">
      <c r="A3489" s="274" t="e">
        <f>MATCH(B3489,STUDIES!$A$3:$A$502,0)</f>
        <v>#N/A</v>
      </c>
      <c r="F3489" s="155">
        <f>_xlfn.XLOOKUP(B3489,STUDIES!$A$3:$A$1063,STUDIES!$G$3:$G$1063,"Not Found!")</f>
        <v>0</v>
      </c>
    </row>
    <row r="3490" spans="1:6" ht="18" customHeight="1" x14ac:dyDescent="0.35">
      <c r="A3490" s="274" t="e">
        <f>MATCH(B3490,STUDIES!$A$3:$A$502,0)</f>
        <v>#N/A</v>
      </c>
      <c r="F3490" s="155">
        <f>_xlfn.XLOOKUP(B3490,STUDIES!$A$3:$A$1063,STUDIES!$G$3:$G$1063,"Not Found!")</f>
        <v>0</v>
      </c>
    </row>
    <row r="3491" spans="1:6" ht="18" customHeight="1" x14ac:dyDescent="0.35">
      <c r="A3491" s="274" t="e">
        <f>MATCH(B3491,STUDIES!$A$3:$A$502,0)</f>
        <v>#N/A</v>
      </c>
      <c r="F3491" s="155">
        <f>_xlfn.XLOOKUP(B3491,STUDIES!$A$3:$A$1063,STUDIES!$G$3:$G$1063,"Not Found!")</f>
        <v>0</v>
      </c>
    </row>
    <row r="3492" spans="1:6" ht="18" customHeight="1" x14ac:dyDescent="0.35">
      <c r="A3492" s="274" t="e">
        <f>MATCH(B3492,STUDIES!$A$3:$A$502,0)</f>
        <v>#N/A</v>
      </c>
      <c r="F3492" s="155">
        <f>_xlfn.XLOOKUP(B3492,STUDIES!$A$3:$A$1063,STUDIES!$G$3:$G$1063,"Not Found!")</f>
        <v>0</v>
      </c>
    </row>
    <row r="3493" spans="1:6" ht="18" customHeight="1" x14ac:dyDescent="0.35">
      <c r="A3493" s="274" t="e">
        <f>MATCH(B3493,STUDIES!$A$3:$A$502,0)</f>
        <v>#N/A</v>
      </c>
      <c r="F3493" s="155">
        <f>_xlfn.XLOOKUP(B3493,STUDIES!$A$3:$A$1063,STUDIES!$G$3:$G$1063,"Not Found!")</f>
        <v>0</v>
      </c>
    </row>
    <row r="3494" spans="1:6" ht="18" customHeight="1" x14ac:dyDescent="0.35">
      <c r="A3494" s="274" t="e">
        <f>MATCH(B3494,STUDIES!$A$3:$A$502,0)</f>
        <v>#N/A</v>
      </c>
      <c r="F3494" s="155">
        <f>_xlfn.XLOOKUP(B3494,STUDIES!$A$3:$A$1063,STUDIES!$G$3:$G$1063,"Not Found!")</f>
        <v>0</v>
      </c>
    </row>
    <row r="3495" spans="1:6" ht="18" customHeight="1" x14ac:dyDescent="0.35">
      <c r="A3495" s="274" t="e">
        <f>MATCH(B3495,STUDIES!$A$3:$A$502,0)</f>
        <v>#N/A</v>
      </c>
      <c r="F3495" s="155">
        <f>_xlfn.XLOOKUP(B3495,STUDIES!$A$3:$A$1063,STUDIES!$G$3:$G$1063,"Not Found!")</f>
        <v>0</v>
      </c>
    </row>
    <row r="3496" spans="1:6" ht="18" customHeight="1" x14ac:dyDescent="0.35">
      <c r="A3496" s="274" t="e">
        <f>MATCH(B3496,STUDIES!$A$3:$A$502,0)</f>
        <v>#N/A</v>
      </c>
      <c r="F3496" s="155">
        <f>_xlfn.XLOOKUP(B3496,STUDIES!$A$3:$A$1063,STUDIES!$G$3:$G$1063,"Not Found!")</f>
        <v>0</v>
      </c>
    </row>
    <row r="3497" spans="1:6" ht="18" customHeight="1" x14ac:dyDescent="0.35">
      <c r="A3497" s="274" t="e">
        <f>MATCH(B3497,STUDIES!$A$3:$A$502,0)</f>
        <v>#N/A</v>
      </c>
      <c r="F3497" s="155">
        <f>_xlfn.XLOOKUP(B3497,STUDIES!$A$3:$A$1063,STUDIES!$G$3:$G$1063,"Not Found!")</f>
        <v>0</v>
      </c>
    </row>
    <row r="3498" spans="1:6" ht="18" customHeight="1" x14ac:dyDescent="0.35">
      <c r="A3498" s="274" t="e">
        <f>MATCH(B3498,STUDIES!$A$3:$A$502,0)</f>
        <v>#N/A</v>
      </c>
      <c r="F3498" s="155">
        <f>_xlfn.XLOOKUP(B3498,STUDIES!$A$3:$A$1063,STUDIES!$G$3:$G$1063,"Not Found!")</f>
        <v>0</v>
      </c>
    </row>
    <row r="3499" spans="1:6" ht="18" customHeight="1" x14ac:dyDescent="0.35">
      <c r="A3499" s="274" t="e">
        <f>MATCH(B3499,STUDIES!$A$3:$A$502,0)</f>
        <v>#N/A</v>
      </c>
      <c r="F3499" s="155">
        <f>_xlfn.XLOOKUP(B3499,STUDIES!$A$3:$A$1063,STUDIES!$G$3:$G$1063,"Not Found!")</f>
        <v>0</v>
      </c>
    </row>
    <row r="3500" spans="1:6" ht="18" customHeight="1" x14ac:dyDescent="0.35">
      <c r="A3500" s="274" t="e">
        <f>MATCH(B3500,STUDIES!$A$3:$A$502,0)</f>
        <v>#N/A</v>
      </c>
      <c r="F3500" s="155">
        <f>_xlfn.XLOOKUP(B3500,STUDIES!$A$3:$A$1063,STUDIES!$G$3:$G$1063,"Not Found!")</f>
        <v>0</v>
      </c>
    </row>
    <row r="3501" spans="1:6" ht="18" customHeight="1" x14ac:dyDescent="0.35">
      <c r="A3501" s="274" t="e">
        <f>MATCH(B3501,STUDIES!$A$3:$A$502,0)</f>
        <v>#N/A</v>
      </c>
      <c r="F3501" s="155">
        <f>_xlfn.XLOOKUP(B3501,STUDIES!$A$3:$A$1063,STUDIES!$G$3:$G$1063,"Not Found!")</f>
        <v>0</v>
      </c>
    </row>
    <row r="3502" spans="1:6" ht="18" customHeight="1" x14ac:dyDescent="0.35">
      <c r="A3502" s="274" t="e">
        <f>MATCH(B3502,STUDIES!$A$3:$A$502,0)</f>
        <v>#N/A</v>
      </c>
      <c r="F3502" s="155">
        <f>_xlfn.XLOOKUP(B3502,STUDIES!$A$3:$A$1063,STUDIES!$G$3:$G$1063,"Not Found!")</f>
        <v>0</v>
      </c>
    </row>
    <row r="3503" spans="1:6" ht="18" customHeight="1" x14ac:dyDescent="0.35">
      <c r="A3503" s="274" t="e">
        <f>MATCH(B3503,STUDIES!$A$3:$A$502,0)</f>
        <v>#N/A</v>
      </c>
      <c r="F3503" s="155">
        <f>_xlfn.XLOOKUP(B3503,STUDIES!$A$3:$A$1063,STUDIES!$G$3:$G$1063,"Not Found!")</f>
        <v>0</v>
      </c>
    </row>
    <row r="3504" spans="1:6" ht="18" customHeight="1" x14ac:dyDescent="0.35">
      <c r="A3504" s="274" t="e">
        <f>MATCH(B3504,STUDIES!$A$3:$A$502,0)</f>
        <v>#N/A</v>
      </c>
      <c r="F3504" s="155">
        <f>_xlfn.XLOOKUP(B3504,STUDIES!$A$3:$A$1063,STUDIES!$G$3:$G$1063,"Not Found!")</f>
        <v>0</v>
      </c>
    </row>
    <row r="3505" spans="1:6" ht="18" customHeight="1" x14ac:dyDescent="0.35">
      <c r="A3505" s="274" t="e">
        <f>MATCH(B3505,STUDIES!$A$3:$A$502,0)</f>
        <v>#N/A</v>
      </c>
      <c r="F3505" s="155">
        <f>_xlfn.XLOOKUP(B3505,STUDIES!$A$3:$A$1063,STUDIES!$G$3:$G$1063,"Not Found!")</f>
        <v>0</v>
      </c>
    </row>
    <row r="3506" spans="1:6" ht="18" customHeight="1" x14ac:dyDescent="0.35">
      <c r="A3506" s="274" t="e">
        <f>MATCH(B3506,STUDIES!$A$3:$A$502,0)</f>
        <v>#N/A</v>
      </c>
      <c r="F3506" s="155">
        <f>_xlfn.XLOOKUP(B3506,STUDIES!$A$3:$A$1063,STUDIES!$G$3:$G$1063,"Not Found!")</f>
        <v>0</v>
      </c>
    </row>
    <row r="3507" spans="1:6" ht="18" customHeight="1" x14ac:dyDescent="0.35">
      <c r="A3507" s="274" t="e">
        <f>MATCH(B3507,STUDIES!$A$3:$A$502,0)</f>
        <v>#N/A</v>
      </c>
      <c r="F3507" s="155">
        <f>_xlfn.XLOOKUP(B3507,STUDIES!$A$3:$A$1063,STUDIES!$G$3:$G$1063,"Not Found!")</f>
        <v>0</v>
      </c>
    </row>
    <row r="3508" spans="1:6" ht="18" customHeight="1" x14ac:dyDescent="0.35">
      <c r="A3508" s="274" t="e">
        <f>MATCH(B3508,STUDIES!$A$3:$A$502,0)</f>
        <v>#N/A</v>
      </c>
      <c r="F3508" s="155">
        <f>_xlfn.XLOOKUP(B3508,STUDIES!$A$3:$A$1063,STUDIES!$G$3:$G$1063,"Not Found!")</f>
        <v>0</v>
      </c>
    </row>
    <row r="3509" spans="1:6" ht="18" customHeight="1" x14ac:dyDescent="0.35">
      <c r="A3509" s="274" t="e">
        <f>MATCH(B3509,STUDIES!$A$3:$A$502,0)</f>
        <v>#N/A</v>
      </c>
      <c r="F3509" s="155">
        <f>_xlfn.XLOOKUP(B3509,STUDIES!$A$3:$A$1063,STUDIES!$G$3:$G$1063,"Not Found!")</f>
        <v>0</v>
      </c>
    </row>
    <row r="3510" spans="1:6" ht="18" customHeight="1" x14ac:dyDescent="0.35">
      <c r="A3510" s="274" t="e">
        <f>MATCH(B3510,STUDIES!$A$3:$A$502,0)</f>
        <v>#N/A</v>
      </c>
      <c r="F3510" s="155">
        <f>_xlfn.XLOOKUP(B3510,STUDIES!$A$3:$A$1063,STUDIES!$G$3:$G$1063,"Not Found!")</f>
        <v>0</v>
      </c>
    </row>
    <row r="3511" spans="1:6" ht="18" customHeight="1" x14ac:dyDescent="0.35">
      <c r="A3511" s="274" t="e">
        <f>MATCH(B3511,STUDIES!$A$3:$A$502,0)</f>
        <v>#N/A</v>
      </c>
      <c r="F3511" s="155">
        <f>_xlfn.XLOOKUP(B3511,STUDIES!$A$3:$A$1063,STUDIES!$G$3:$G$1063,"Not Found!")</f>
        <v>0</v>
      </c>
    </row>
    <row r="3512" spans="1:6" ht="18" customHeight="1" x14ac:dyDescent="0.35">
      <c r="A3512" s="274" t="e">
        <f>MATCH(B3512,STUDIES!$A$3:$A$502,0)</f>
        <v>#N/A</v>
      </c>
      <c r="F3512" s="155">
        <f>_xlfn.XLOOKUP(B3512,STUDIES!$A$3:$A$1063,STUDIES!$G$3:$G$1063,"Not Found!")</f>
        <v>0</v>
      </c>
    </row>
    <row r="3513" spans="1:6" ht="18" customHeight="1" x14ac:dyDescent="0.35">
      <c r="A3513" s="274" t="e">
        <f>MATCH(B3513,STUDIES!$A$3:$A$502,0)</f>
        <v>#N/A</v>
      </c>
      <c r="F3513" s="155">
        <f>_xlfn.XLOOKUP(B3513,STUDIES!$A$3:$A$1063,STUDIES!$G$3:$G$1063,"Not Found!")</f>
        <v>0</v>
      </c>
    </row>
    <row r="3514" spans="1:6" ht="18" customHeight="1" x14ac:dyDescent="0.35">
      <c r="A3514" s="274" t="e">
        <f>MATCH(B3514,STUDIES!$A$3:$A$502,0)</f>
        <v>#N/A</v>
      </c>
      <c r="F3514" s="155">
        <f>_xlfn.XLOOKUP(B3514,STUDIES!$A$3:$A$1063,STUDIES!$G$3:$G$1063,"Not Found!")</f>
        <v>0</v>
      </c>
    </row>
    <row r="3515" spans="1:6" ht="18" customHeight="1" x14ac:dyDescent="0.35">
      <c r="A3515" s="274" t="e">
        <f>MATCH(B3515,STUDIES!$A$3:$A$502,0)</f>
        <v>#N/A</v>
      </c>
      <c r="F3515" s="155">
        <f>_xlfn.XLOOKUP(B3515,STUDIES!$A$3:$A$1063,STUDIES!$G$3:$G$1063,"Not Found!")</f>
        <v>0</v>
      </c>
    </row>
    <row r="3516" spans="1:6" ht="18" customHeight="1" x14ac:dyDescent="0.35">
      <c r="A3516" s="274" t="e">
        <f>MATCH(B3516,STUDIES!$A$3:$A$502,0)</f>
        <v>#N/A</v>
      </c>
      <c r="F3516" s="155">
        <f>_xlfn.XLOOKUP(B3516,STUDIES!$A$3:$A$1063,STUDIES!$G$3:$G$1063,"Not Found!")</f>
        <v>0</v>
      </c>
    </row>
    <row r="3517" spans="1:6" ht="18" customHeight="1" x14ac:dyDescent="0.35">
      <c r="A3517" s="274" t="e">
        <f>MATCH(B3517,STUDIES!$A$3:$A$502,0)</f>
        <v>#N/A</v>
      </c>
      <c r="F3517" s="155">
        <f>_xlfn.XLOOKUP(B3517,STUDIES!$A$3:$A$1063,STUDIES!$G$3:$G$1063,"Not Found!")</f>
        <v>0</v>
      </c>
    </row>
    <row r="3518" spans="1:6" ht="18" customHeight="1" x14ac:dyDescent="0.35">
      <c r="A3518" s="274" t="e">
        <f>MATCH(B3518,STUDIES!$A$3:$A$502,0)</f>
        <v>#N/A</v>
      </c>
      <c r="F3518" s="155">
        <f>_xlfn.XLOOKUP(B3518,STUDIES!$A$3:$A$1063,STUDIES!$G$3:$G$1063,"Not Found!")</f>
        <v>0</v>
      </c>
    </row>
    <row r="3519" spans="1:6" ht="18" customHeight="1" x14ac:dyDescent="0.35">
      <c r="A3519" s="274" t="e">
        <f>MATCH(B3519,STUDIES!$A$3:$A$502,0)</f>
        <v>#N/A</v>
      </c>
      <c r="F3519" s="155">
        <f>_xlfn.XLOOKUP(B3519,STUDIES!$A$3:$A$1063,STUDIES!$G$3:$G$1063,"Not Found!")</f>
        <v>0</v>
      </c>
    </row>
    <row r="3520" spans="1:6" ht="18" customHeight="1" x14ac:dyDescent="0.35">
      <c r="A3520" s="274" t="e">
        <f>MATCH(B3520,STUDIES!$A$3:$A$502,0)</f>
        <v>#N/A</v>
      </c>
      <c r="F3520" s="155">
        <f>_xlfn.XLOOKUP(B3520,STUDIES!$A$3:$A$1063,STUDIES!$G$3:$G$1063,"Not Found!")</f>
        <v>0</v>
      </c>
    </row>
    <row r="3521" spans="1:6" ht="18" customHeight="1" x14ac:dyDescent="0.35">
      <c r="A3521" s="274" t="e">
        <f>MATCH(B3521,STUDIES!$A$3:$A$502,0)</f>
        <v>#N/A</v>
      </c>
      <c r="F3521" s="155">
        <f>_xlfn.XLOOKUP(B3521,STUDIES!$A$3:$A$1063,STUDIES!$G$3:$G$1063,"Not Found!")</f>
        <v>0</v>
      </c>
    </row>
    <row r="3522" spans="1:6" ht="18" customHeight="1" x14ac:dyDescent="0.35">
      <c r="A3522" s="274" t="e">
        <f>MATCH(B3522,STUDIES!$A$3:$A$502,0)</f>
        <v>#N/A</v>
      </c>
      <c r="F3522" s="155">
        <f>_xlfn.XLOOKUP(B3522,STUDIES!$A$3:$A$1063,STUDIES!$G$3:$G$1063,"Not Found!")</f>
        <v>0</v>
      </c>
    </row>
    <row r="3523" spans="1:6" ht="18" customHeight="1" x14ac:dyDescent="0.35">
      <c r="A3523" s="274" t="e">
        <f>MATCH(B3523,STUDIES!$A$3:$A$502,0)</f>
        <v>#N/A</v>
      </c>
      <c r="F3523" s="155">
        <f>_xlfn.XLOOKUP(B3523,STUDIES!$A$3:$A$1063,STUDIES!$G$3:$G$1063,"Not Found!")</f>
        <v>0</v>
      </c>
    </row>
    <row r="3524" spans="1:6" ht="18" customHeight="1" x14ac:dyDescent="0.35">
      <c r="A3524" s="274" t="e">
        <f>MATCH(B3524,STUDIES!$A$3:$A$502,0)</f>
        <v>#N/A</v>
      </c>
      <c r="F3524" s="155">
        <f>_xlfn.XLOOKUP(B3524,STUDIES!$A$3:$A$1063,STUDIES!$G$3:$G$1063,"Not Found!")</f>
        <v>0</v>
      </c>
    </row>
    <row r="3525" spans="1:6" ht="18" customHeight="1" x14ac:dyDescent="0.35">
      <c r="A3525" s="274" t="e">
        <f>MATCH(B3525,STUDIES!$A$3:$A$502,0)</f>
        <v>#N/A</v>
      </c>
      <c r="F3525" s="155">
        <f>_xlfn.XLOOKUP(B3525,STUDIES!$A$3:$A$1063,STUDIES!$G$3:$G$1063,"Not Found!")</f>
        <v>0</v>
      </c>
    </row>
    <row r="3526" spans="1:6" ht="18" customHeight="1" x14ac:dyDescent="0.35">
      <c r="A3526" s="274" t="e">
        <f>MATCH(B3526,STUDIES!$A$3:$A$502,0)</f>
        <v>#N/A</v>
      </c>
      <c r="F3526" s="155">
        <f>_xlfn.XLOOKUP(B3526,STUDIES!$A$3:$A$1063,STUDIES!$G$3:$G$1063,"Not Found!")</f>
        <v>0</v>
      </c>
    </row>
    <row r="3527" spans="1:6" ht="18" customHeight="1" x14ac:dyDescent="0.35">
      <c r="A3527" s="274" t="e">
        <f>MATCH(B3527,STUDIES!$A$3:$A$502,0)</f>
        <v>#N/A</v>
      </c>
    </row>
    <row r="3528" spans="1:6" ht="18" customHeight="1" x14ac:dyDescent="0.35">
      <c r="A3528" s="274" t="e">
        <f>MATCH(B3528,STUDIES!$A$3:$A$502,0)</f>
        <v>#N/A</v>
      </c>
    </row>
    <row r="3529" spans="1:6" ht="18" customHeight="1" x14ac:dyDescent="0.35">
      <c r="A3529" s="274" t="e">
        <f>MATCH(B3529,STUDIES!$A$3:$A$502,0)</f>
        <v>#N/A</v>
      </c>
    </row>
    <row r="3530" spans="1:6" ht="18" customHeight="1" x14ac:dyDescent="0.35">
      <c r="A3530" s="274" t="e">
        <f>MATCH(B3530,STUDIES!$A$3:$A$502,0)</f>
        <v>#N/A</v>
      </c>
    </row>
    <row r="3531" spans="1:6" ht="18" customHeight="1" x14ac:dyDescent="0.35">
      <c r="A3531" s="274" t="e">
        <f>MATCH(B3531,STUDIES!$A$3:$A$502,0)</f>
        <v>#N/A</v>
      </c>
    </row>
    <row r="3532" spans="1:6" ht="18" customHeight="1" x14ac:dyDescent="0.35">
      <c r="A3532" s="274" t="e">
        <f>MATCH(B3532,STUDIES!$A$3:$A$502,0)</f>
        <v>#N/A</v>
      </c>
    </row>
    <row r="3533" spans="1:6" ht="18" customHeight="1" x14ac:dyDescent="0.35">
      <c r="A3533" s="274" t="e">
        <f>MATCH(B3533,STUDIES!$A$3:$A$502,0)</f>
        <v>#N/A</v>
      </c>
    </row>
    <row r="3534" spans="1:6" ht="18" customHeight="1" x14ac:dyDescent="0.35">
      <c r="A3534" s="274" t="e">
        <f>MATCH(B3534,STUDIES!$A$3:$A$502,0)</f>
        <v>#N/A</v>
      </c>
    </row>
    <row r="3535" spans="1:6" ht="18" customHeight="1" x14ac:dyDescent="0.35">
      <c r="A3535" s="274" t="e">
        <f>MATCH(B3535,STUDIES!$A$3:$A$502,0)</f>
        <v>#N/A</v>
      </c>
    </row>
    <row r="3536" spans="1:6" ht="18" customHeight="1" x14ac:dyDescent="0.35">
      <c r="A3536" s="274" t="e">
        <f>MATCH(B3536,STUDIES!$A$3:$A$502,0)</f>
        <v>#N/A</v>
      </c>
    </row>
    <row r="3537" spans="1:1" ht="18" customHeight="1" x14ac:dyDescent="0.35">
      <c r="A3537" s="274" t="e">
        <f>MATCH(B3537,STUDIES!$A$3:$A$502,0)</f>
        <v>#N/A</v>
      </c>
    </row>
    <row r="3538" spans="1:1" ht="18" customHeight="1" x14ac:dyDescent="0.35">
      <c r="A3538" s="274" t="e">
        <f>MATCH(B3538,STUDIES!$A$3:$A$502,0)</f>
        <v>#N/A</v>
      </c>
    </row>
    <row r="3539" spans="1:1" ht="18" customHeight="1" x14ac:dyDescent="0.35">
      <c r="A3539" s="274" t="e">
        <f>MATCH(B3539,STUDIES!$A$3:$A$502,0)</f>
        <v>#N/A</v>
      </c>
    </row>
    <row r="3540" spans="1:1" ht="18" customHeight="1" x14ac:dyDescent="0.35">
      <c r="A3540" s="274" t="e">
        <f>MATCH(B3540,STUDIES!$A$3:$A$502,0)</f>
        <v>#N/A</v>
      </c>
    </row>
    <row r="3541" spans="1:1" ht="18" customHeight="1" x14ac:dyDescent="0.35">
      <c r="A3541" s="274" t="e">
        <f>MATCH(B3541,STUDIES!$A$3:$A$502,0)</f>
        <v>#N/A</v>
      </c>
    </row>
    <row r="3542" spans="1:1" ht="18" customHeight="1" x14ac:dyDescent="0.35">
      <c r="A3542" s="274" t="e">
        <f>MATCH(B3542,STUDIES!$A$3:$A$502,0)</f>
        <v>#N/A</v>
      </c>
    </row>
    <row r="3543" spans="1:1" ht="18" customHeight="1" x14ac:dyDescent="0.35">
      <c r="A3543" s="274" t="e">
        <f>MATCH(B3543,STUDIES!$A$3:$A$502,0)</f>
        <v>#N/A</v>
      </c>
    </row>
    <row r="3544" spans="1:1" ht="18" customHeight="1" x14ac:dyDescent="0.35">
      <c r="A3544" s="274" t="e">
        <f>MATCH(B3544,STUDIES!$A$3:$A$502,0)</f>
        <v>#N/A</v>
      </c>
    </row>
    <row r="3545" spans="1:1" ht="18" customHeight="1" x14ac:dyDescent="0.35">
      <c r="A3545" s="274" t="e">
        <f>MATCH(B3545,STUDIES!$A$3:$A$502,0)</f>
        <v>#N/A</v>
      </c>
    </row>
    <row r="3546" spans="1:1" ht="18" customHeight="1" x14ac:dyDescent="0.35">
      <c r="A3546" s="274" t="e">
        <f>MATCH(B3546,STUDIES!$A$3:$A$502,0)</f>
        <v>#N/A</v>
      </c>
    </row>
    <row r="3547" spans="1:1" ht="18" customHeight="1" x14ac:dyDescent="0.35">
      <c r="A3547" s="274" t="e">
        <f>MATCH(B3547,STUDIES!$A$3:$A$502,0)</f>
        <v>#N/A</v>
      </c>
    </row>
    <row r="3548" spans="1:1" ht="18" customHeight="1" x14ac:dyDescent="0.35">
      <c r="A3548" s="274" t="e">
        <f>MATCH(B3548,STUDIES!$A$3:$A$502,0)</f>
        <v>#N/A</v>
      </c>
    </row>
    <row r="3549" spans="1:1" ht="18" customHeight="1" x14ac:dyDescent="0.35">
      <c r="A3549" s="274" t="e">
        <f>MATCH(B3549,STUDIES!$A$3:$A$502,0)</f>
        <v>#N/A</v>
      </c>
    </row>
    <row r="3550" spans="1:1" ht="18" customHeight="1" x14ac:dyDescent="0.35">
      <c r="A3550" s="274" t="e">
        <f>MATCH(B3550,STUDIES!$A$3:$A$502,0)</f>
        <v>#N/A</v>
      </c>
    </row>
    <row r="3551" spans="1:1" ht="18" customHeight="1" x14ac:dyDescent="0.35">
      <c r="A3551" s="274" t="e">
        <f>MATCH(B3551,STUDIES!$A$3:$A$502,0)</f>
        <v>#N/A</v>
      </c>
    </row>
    <row r="3552" spans="1:1" ht="18" customHeight="1" x14ac:dyDescent="0.35">
      <c r="A3552" s="274" t="e">
        <f>MATCH(B3552,STUDIES!$A$3:$A$502,0)</f>
        <v>#N/A</v>
      </c>
    </row>
    <row r="3553" spans="1:1" ht="18" customHeight="1" x14ac:dyDescent="0.35">
      <c r="A3553" s="274" t="e">
        <f>MATCH(B3553,STUDIES!$A$3:$A$502,0)</f>
        <v>#N/A</v>
      </c>
    </row>
    <row r="3554" spans="1:1" ht="18" customHeight="1" x14ac:dyDescent="0.35">
      <c r="A3554" s="274" t="e">
        <f>MATCH(B3554,STUDIES!$A$3:$A$502,0)</f>
        <v>#N/A</v>
      </c>
    </row>
    <row r="3555" spans="1:1" ht="18" customHeight="1" x14ac:dyDescent="0.35">
      <c r="A3555" s="274" t="e">
        <f>MATCH(B3555,STUDIES!$A$3:$A$502,0)</f>
        <v>#N/A</v>
      </c>
    </row>
    <row r="3556" spans="1:1" ht="18" customHeight="1" x14ac:dyDescent="0.35">
      <c r="A3556" s="274" t="e">
        <f>MATCH(B3556,STUDIES!$A$3:$A$502,0)</f>
        <v>#N/A</v>
      </c>
    </row>
    <row r="3557" spans="1:1" ht="18" customHeight="1" x14ac:dyDescent="0.35">
      <c r="A3557" s="274" t="e">
        <f>MATCH(B3557,STUDIES!$A$3:$A$502,0)</f>
        <v>#N/A</v>
      </c>
    </row>
    <row r="3558" spans="1:1" ht="18" customHeight="1" x14ac:dyDescent="0.35">
      <c r="A3558" s="274" t="e">
        <f>MATCH(B3558,STUDIES!$A$3:$A$502,0)</f>
        <v>#N/A</v>
      </c>
    </row>
    <row r="3559" spans="1:1" ht="18" customHeight="1" x14ac:dyDescent="0.35">
      <c r="A3559" s="274" t="e">
        <f>MATCH(B3559,STUDIES!$A$3:$A$502,0)</f>
        <v>#N/A</v>
      </c>
    </row>
    <row r="3560" spans="1:1" ht="18" customHeight="1" x14ac:dyDescent="0.35">
      <c r="A3560" s="274" t="e">
        <f>MATCH(B3560,STUDIES!$A$3:$A$502,0)</f>
        <v>#N/A</v>
      </c>
    </row>
    <row r="3561" spans="1:1" ht="18" customHeight="1" x14ac:dyDescent="0.35">
      <c r="A3561" s="274" t="e">
        <f>MATCH(B3561,STUDIES!$A$3:$A$502,0)</f>
        <v>#N/A</v>
      </c>
    </row>
    <row r="3562" spans="1:1" ht="18" customHeight="1" x14ac:dyDescent="0.35">
      <c r="A3562" s="274" t="e">
        <f>MATCH(B3562,STUDIES!$A$3:$A$502,0)</f>
        <v>#N/A</v>
      </c>
    </row>
    <row r="3563" spans="1:1" ht="18" customHeight="1" x14ac:dyDescent="0.35">
      <c r="A3563" s="274" t="e">
        <f>MATCH(B3563,STUDIES!$A$3:$A$502,0)</f>
        <v>#N/A</v>
      </c>
    </row>
    <row r="3564" spans="1:1" ht="18" customHeight="1" x14ac:dyDescent="0.35">
      <c r="A3564" s="274" t="e">
        <f>MATCH(B3564,STUDIES!$A$3:$A$502,0)</f>
        <v>#N/A</v>
      </c>
    </row>
    <row r="3565" spans="1:1" ht="18" customHeight="1" x14ac:dyDescent="0.35">
      <c r="A3565" s="274" t="e">
        <f>MATCH(B3565,STUDIES!$A$3:$A$502,0)</f>
        <v>#N/A</v>
      </c>
    </row>
    <row r="3566" spans="1:1" ht="18" customHeight="1" x14ac:dyDescent="0.35">
      <c r="A3566" s="274" t="e">
        <f>MATCH(B3566,STUDIES!$A$3:$A$502,0)</f>
        <v>#N/A</v>
      </c>
    </row>
    <row r="3567" spans="1:1" ht="18" customHeight="1" x14ac:dyDescent="0.35">
      <c r="A3567" s="274" t="e">
        <f>MATCH(B3567,STUDIES!$A$3:$A$502,0)</f>
        <v>#N/A</v>
      </c>
    </row>
    <row r="3568" spans="1:1" ht="18" customHeight="1" x14ac:dyDescent="0.35">
      <c r="A3568" s="274" t="e">
        <f>MATCH(B3568,STUDIES!$A$3:$A$502,0)</f>
        <v>#N/A</v>
      </c>
    </row>
    <row r="3569" spans="1:1" ht="18" customHeight="1" x14ac:dyDescent="0.35">
      <c r="A3569" s="274" t="e">
        <f>MATCH(B3569,STUDIES!$A$3:$A$502,0)</f>
        <v>#N/A</v>
      </c>
    </row>
    <row r="3570" spans="1:1" ht="18" customHeight="1" x14ac:dyDescent="0.35">
      <c r="A3570" s="274" t="e">
        <f>MATCH(B3570,STUDIES!$A$3:$A$502,0)</f>
        <v>#N/A</v>
      </c>
    </row>
    <row r="3571" spans="1:1" ht="18" customHeight="1" x14ac:dyDescent="0.35">
      <c r="A3571" s="274" t="e">
        <f>MATCH(B3571,STUDIES!$A$3:$A$502,0)</f>
        <v>#N/A</v>
      </c>
    </row>
    <row r="3572" spans="1:1" ht="18" customHeight="1" x14ac:dyDescent="0.35">
      <c r="A3572" s="274" t="e">
        <f>MATCH(B3572,STUDIES!$A$3:$A$502,0)</f>
        <v>#N/A</v>
      </c>
    </row>
    <row r="3573" spans="1:1" ht="18" customHeight="1" x14ac:dyDescent="0.35">
      <c r="A3573" s="274" t="e">
        <f>MATCH(B3573,STUDIES!$A$3:$A$502,0)</f>
        <v>#N/A</v>
      </c>
    </row>
    <row r="3574" spans="1:1" ht="18" customHeight="1" x14ac:dyDescent="0.35">
      <c r="A3574" s="274" t="e">
        <f>MATCH(B3574,STUDIES!$A$3:$A$502,0)</f>
        <v>#N/A</v>
      </c>
    </row>
    <row r="3575" spans="1:1" ht="18" customHeight="1" x14ac:dyDescent="0.35">
      <c r="A3575" s="274" t="e">
        <f>MATCH(B3575,STUDIES!$A$3:$A$502,0)</f>
        <v>#N/A</v>
      </c>
    </row>
    <row r="3576" spans="1:1" ht="18" customHeight="1" x14ac:dyDescent="0.35">
      <c r="A3576" s="274" t="e">
        <f>MATCH(B3576,STUDIES!$A$3:$A$502,0)</f>
        <v>#N/A</v>
      </c>
    </row>
    <row r="3577" spans="1:1" ht="18" customHeight="1" x14ac:dyDescent="0.35">
      <c r="A3577" s="274" t="e">
        <f>MATCH(B3577,STUDIES!$A$3:$A$502,0)</f>
        <v>#N/A</v>
      </c>
    </row>
    <row r="3578" spans="1:1" ht="18" customHeight="1" x14ac:dyDescent="0.35">
      <c r="A3578" s="274" t="e">
        <f>MATCH(B3578,STUDIES!$A$3:$A$502,0)</f>
        <v>#N/A</v>
      </c>
    </row>
    <row r="3579" spans="1:1" ht="18" customHeight="1" x14ac:dyDescent="0.35">
      <c r="A3579" s="274" t="e">
        <f>MATCH(B3579,STUDIES!$A$3:$A$502,0)</f>
        <v>#N/A</v>
      </c>
    </row>
    <row r="3580" spans="1:1" ht="18" customHeight="1" x14ac:dyDescent="0.35">
      <c r="A3580" s="274" t="e">
        <f>MATCH(B3580,STUDIES!$A$3:$A$502,0)</f>
        <v>#N/A</v>
      </c>
    </row>
    <row r="3581" spans="1:1" ht="18" customHeight="1" x14ac:dyDescent="0.35">
      <c r="A3581" s="274" t="e">
        <f>MATCH(B3581,STUDIES!$A$3:$A$502,0)</f>
        <v>#N/A</v>
      </c>
    </row>
    <row r="3582" spans="1:1" ht="18" customHeight="1" x14ac:dyDescent="0.35">
      <c r="A3582" s="274" t="e">
        <f>MATCH(B3582,STUDIES!$A$3:$A$502,0)</f>
        <v>#N/A</v>
      </c>
    </row>
    <row r="3583" spans="1:1" ht="18" customHeight="1" x14ac:dyDescent="0.35">
      <c r="A3583" s="274" t="e">
        <f>MATCH(B3583,STUDIES!$A$3:$A$502,0)</f>
        <v>#N/A</v>
      </c>
    </row>
    <row r="3584" spans="1:1" ht="18" customHeight="1" x14ac:dyDescent="0.35">
      <c r="A3584" s="274" t="e">
        <f>MATCH(B3584,STUDIES!$A$3:$A$502,0)</f>
        <v>#N/A</v>
      </c>
    </row>
    <row r="3585" spans="1:1" ht="18" customHeight="1" x14ac:dyDescent="0.35">
      <c r="A3585" s="274" t="e">
        <f>MATCH(B3585,STUDIES!$A$3:$A$502,0)</f>
        <v>#N/A</v>
      </c>
    </row>
    <row r="3586" spans="1:1" ht="18" customHeight="1" x14ac:dyDescent="0.35">
      <c r="A3586" s="274" t="e">
        <f>MATCH(B3586,STUDIES!$A$3:$A$502,0)</f>
        <v>#N/A</v>
      </c>
    </row>
    <row r="3587" spans="1:1" ht="18" customHeight="1" x14ac:dyDescent="0.35">
      <c r="A3587" s="274" t="e">
        <f>MATCH(B3587,STUDIES!$A$3:$A$502,0)</f>
        <v>#N/A</v>
      </c>
    </row>
    <row r="3588" spans="1:1" ht="18" customHeight="1" x14ac:dyDescent="0.35">
      <c r="A3588" s="274" t="e">
        <f>MATCH(B3588,STUDIES!$A$3:$A$502,0)</f>
        <v>#N/A</v>
      </c>
    </row>
    <row r="3589" spans="1:1" ht="18" customHeight="1" x14ac:dyDescent="0.35">
      <c r="A3589" s="274" t="e">
        <f>MATCH(B3589,STUDIES!$A$3:$A$502,0)</f>
        <v>#N/A</v>
      </c>
    </row>
    <row r="3590" spans="1:1" ht="18" customHeight="1" x14ac:dyDescent="0.35">
      <c r="A3590" s="274" t="e">
        <f>MATCH(B3590,STUDIES!$A$3:$A$502,0)</f>
        <v>#N/A</v>
      </c>
    </row>
    <row r="3591" spans="1:1" ht="18" customHeight="1" x14ac:dyDescent="0.35">
      <c r="A3591" s="274" t="e">
        <f>MATCH(B3591,STUDIES!$A$3:$A$502,0)</f>
        <v>#N/A</v>
      </c>
    </row>
    <row r="3592" spans="1:1" ht="18" customHeight="1" x14ac:dyDescent="0.35">
      <c r="A3592" s="274" t="e">
        <f>MATCH(B3592,STUDIES!$A$3:$A$502,0)</f>
        <v>#N/A</v>
      </c>
    </row>
    <row r="3593" spans="1:1" ht="18" customHeight="1" x14ac:dyDescent="0.35">
      <c r="A3593" s="274" t="e">
        <f>MATCH(B3593,STUDIES!$A$3:$A$502,0)</f>
        <v>#N/A</v>
      </c>
    </row>
    <row r="3594" spans="1:1" ht="18" customHeight="1" x14ac:dyDescent="0.35">
      <c r="A3594" s="274" t="e">
        <f>MATCH(B3594,STUDIES!$A$3:$A$502,0)</f>
        <v>#N/A</v>
      </c>
    </row>
    <row r="3595" spans="1:1" ht="18" customHeight="1" x14ac:dyDescent="0.35">
      <c r="A3595" s="274" t="e">
        <f>MATCH(B3595,STUDIES!$A$3:$A$502,0)</f>
        <v>#N/A</v>
      </c>
    </row>
    <row r="3596" spans="1:1" ht="18" customHeight="1" x14ac:dyDescent="0.35">
      <c r="A3596" s="274" t="e">
        <f>MATCH(B3596,STUDIES!$A$3:$A$502,0)</f>
        <v>#N/A</v>
      </c>
    </row>
    <row r="3597" spans="1:1" ht="18" customHeight="1" x14ac:dyDescent="0.35">
      <c r="A3597" s="274" t="e">
        <f>MATCH(B3597,STUDIES!$A$3:$A$502,0)</f>
        <v>#N/A</v>
      </c>
    </row>
    <row r="3598" spans="1:1" ht="18" customHeight="1" x14ac:dyDescent="0.35">
      <c r="A3598" s="274" t="e">
        <f>MATCH(B3598,STUDIES!$A$3:$A$502,0)</f>
        <v>#N/A</v>
      </c>
    </row>
    <row r="3599" spans="1:1" ht="18" customHeight="1" x14ac:dyDescent="0.35">
      <c r="A3599" s="274" t="e">
        <f>MATCH(B3599,STUDIES!$A$3:$A$502,0)</f>
        <v>#N/A</v>
      </c>
    </row>
    <row r="3600" spans="1:1" ht="18" customHeight="1" x14ac:dyDescent="0.35">
      <c r="A3600" s="274" t="e">
        <f>MATCH(B3600,STUDIES!$A$3:$A$502,0)</f>
        <v>#N/A</v>
      </c>
    </row>
    <row r="3601" spans="1:1" ht="18" customHeight="1" x14ac:dyDescent="0.35">
      <c r="A3601" s="274" t="e">
        <f>MATCH(B3601,STUDIES!$A$3:$A$502,0)</f>
        <v>#N/A</v>
      </c>
    </row>
    <row r="3602" spans="1:1" ht="18" customHeight="1" x14ac:dyDescent="0.35">
      <c r="A3602" s="274" t="e">
        <f>MATCH(B3602,STUDIES!$A$3:$A$502,0)</f>
        <v>#N/A</v>
      </c>
    </row>
    <row r="3603" spans="1:1" ht="18" customHeight="1" x14ac:dyDescent="0.35">
      <c r="A3603" s="274" t="e">
        <f>MATCH(B3603,STUDIES!$A$3:$A$502,0)</f>
        <v>#N/A</v>
      </c>
    </row>
    <row r="3604" spans="1:1" ht="18" customHeight="1" x14ac:dyDescent="0.35">
      <c r="A3604" s="274" t="e">
        <f>MATCH(B3604,STUDIES!$A$3:$A$502,0)</f>
        <v>#N/A</v>
      </c>
    </row>
    <row r="3605" spans="1:1" ht="18" customHeight="1" x14ac:dyDescent="0.35">
      <c r="A3605" s="274" t="e">
        <f>MATCH(B3605,STUDIES!$A$3:$A$502,0)</f>
        <v>#N/A</v>
      </c>
    </row>
    <row r="3606" spans="1:1" ht="18" customHeight="1" x14ac:dyDescent="0.35">
      <c r="A3606" s="274" t="e">
        <f>MATCH(B3606,STUDIES!$A$3:$A$502,0)</f>
        <v>#N/A</v>
      </c>
    </row>
    <row r="3607" spans="1:1" ht="18" customHeight="1" x14ac:dyDescent="0.35">
      <c r="A3607" s="274" t="e">
        <f>MATCH(B3607,STUDIES!$A$3:$A$502,0)</f>
        <v>#N/A</v>
      </c>
    </row>
    <row r="3608" spans="1:1" ht="18" customHeight="1" x14ac:dyDescent="0.35">
      <c r="A3608" s="274" t="e">
        <f>MATCH(B3608,STUDIES!$A$3:$A$502,0)</f>
        <v>#N/A</v>
      </c>
    </row>
    <row r="3609" spans="1:1" ht="18" customHeight="1" x14ac:dyDescent="0.35">
      <c r="A3609" s="274" t="e">
        <f>MATCH(B3609,STUDIES!$A$3:$A$502,0)</f>
        <v>#N/A</v>
      </c>
    </row>
    <row r="3610" spans="1:1" ht="18" customHeight="1" x14ac:dyDescent="0.35">
      <c r="A3610" s="274" t="e">
        <f>MATCH(B3610,STUDIES!$A$3:$A$502,0)</f>
        <v>#N/A</v>
      </c>
    </row>
    <row r="3611" spans="1:1" ht="18" customHeight="1" x14ac:dyDescent="0.35">
      <c r="A3611" s="274" t="e">
        <f>MATCH(B3611,STUDIES!$A$3:$A$502,0)</f>
        <v>#N/A</v>
      </c>
    </row>
    <row r="3612" spans="1:1" ht="18" customHeight="1" x14ac:dyDescent="0.35">
      <c r="A3612" s="274" t="e">
        <f>MATCH(B3612,STUDIES!$A$3:$A$502,0)</f>
        <v>#N/A</v>
      </c>
    </row>
    <row r="3613" spans="1:1" ht="18" customHeight="1" x14ac:dyDescent="0.35">
      <c r="A3613" s="274" t="e">
        <f>MATCH(B3613,STUDIES!$A$3:$A$502,0)</f>
        <v>#N/A</v>
      </c>
    </row>
    <row r="3614" spans="1:1" ht="18" customHeight="1" x14ac:dyDescent="0.35">
      <c r="A3614" s="274" t="e">
        <f>MATCH(B3614,STUDIES!$A$3:$A$502,0)</f>
        <v>#N/A</v>
      </c>
    </row>
    <row r="3615" spans="1:1" ht="18" customHeight="1" x14ac:dyDescent="0.35">
      <c r="A3615" s="274" t="e">
        <f>MATCH(B3615,STUDIES!$A$3:$A$502,0)</f>
        <v>#N/A</v>
      </c>
    </row>
    <row r="3616" spans="1:1" ht="18" customHeight="1" x14ac:dyDescent="0.35">
      <c r="A3616" s="274" t="e">
        <f>MATCH(B3616,STUDIES!$A$3:$A$502,0)</f>
        <v>#N/A</v>
      </c>
    </row>
    <row r="3617" spans="1:1" ht="18" customHeight="1" x14ac:dyDescent="0.35">
      <c r="A3617" s="274" t="e">
        <f>MATCH(B3617,STUDIES!$A$3:$A$502,0)</f>
        <v>#N/A</v>
      </c>
    </row>
    <row r="3618" spans="1:1" ht="18" customHeight="1" x14ac:dyDescent="0.35">
      <c r="A3618" s="274" t="e">
        <f>MATCH(B3618,STUDIES!$A$3:$A$502,0)</f>
        <v>#N/A</v>
      </c>
    </row>
    <row r="3619" spans="1:1" ht="18" customHeight="1" x14ac:dyDescent="0.35">
      <c r="A3619" s="274" t="e">
        <f>MATCH(B3619,STUDIES!$A$3:$A$502,0)</f>
        <v>#N/A</v>
      </c>
    </row>
    <row r="3620" spans="1:1" ht="18" customHeight="1" x14ac:dyDescent="0.35">
      <c r="A3620" s="274" t="e">
        <f>MATCH(B3620,STUDIES!$A$3:$A$502,0)</f>
        <v>#N/A</v>
      </c>
    </row>
    <row r="3621" spans="1:1" ht="18" customHeight="1" x14ac:dyDescent="0.35">
      <c r="A3621" s="274" t="e">
        <f>MATCH(B3621,STUDIES!$A$3:$A$502,0)</f>
        <v>#N/A</v>
      </c>
    </row>
    <row r="3622" spans="1:1" ht="18" customHeight="1" x14ac:dyDescent="0.35">
      <c r="A3622" s="274" t="e">
        <f>MATCH(B3622,STUDIES!$A$3:$A$502,0)</f>
        <v>#N/A</v>
      </c>
    </row>
    <row r="3623" spans="1:1" ht="18" customHeight="1" x14ac:dyDescent="0.35">
      <c r="A3623" s="274" t="e">
        <f>MATCH(B3623,STUDIES!$A$3:$A$502,0)</f>
        <v>#N/A</v>
      </c>
    </row>
    <row r="3624" spans="1:1" ht="18" customHeight="1" x14ac:dyDescent="0.35">
      <c r="A3624" s="274" t="e">
        <f>MATCH(B3624,STUDIES!$A$3:$A$502,0)</f>
        <v>#N/A</v>
      </c>
    </row>
    <row r="3625" spans="1:1" ht="18" customHeight="1" x14ac:dyDescent="0.35">
      <c r="A3625" s="274" t="e">
        <f>MATCH(B3625,STUDIES!$A$3:$A$502,0)</f>
        <v>#N/A</v>
      </c>
    </row>
    <row r="3626" spans="1:1" ht="18" customHeight="1" x14ac:dyDescent="0.35">
      <c r="A3626" s="274" t="e">
        <f>MATCH(B3626,STUDIES!$A$3:$A$502,0)</f>
        <v>#N/A</v>
      </c>
    </row>
    <row r="3627" spans="1:1" ht="18" customHeight="1" x14ac:dyDescent="0.35">
      <c r="A3627" s="274" t="e">
        <f>MATCH(B3627,STUDIES!$A$3:$A$502,0)</f>
        <v>#N/A</v>
      </c>
    </row>
    <row r="3628" spans="1:1" ht="18" customHeight="1" x14ac:dyDescent="0.35">
      <c r="A3628" s="274" t="e">
        <f>MATCH(B3628,STUDIES!$A$3:$A$502,0)</f>
        <v>#N/A</v>
      </c>
    </row>
    <row r="3629" spans="1:1" ht="18" customHeight="1" x14ac:dyDescent="0.35">
      <c r="A3629" s="274" t="e">
        <f>MATCH(B3629,STUDIES!$A$3:$A$502,0)</f>
        <v>#N/A</v>
      </c>
    </row>
    <row r="3630" spans="1:1" ht="18" customHeight="1" x14ac:dyDescent="0.35">
      <c r="A3630" s="274" t="e">
        <f>MATCH(B3630,STUDIES!$A$3:$A$502,0)</f>
        <v>#N/A</v>
      </c>
    </row>
    <row r="3631" spans="1:1" ht="18" customHeight="1" x14ac:dyDescent="0.35">
      <c r="A3631" s="274" t="e">
        <f>MATCH(B3631,STUDIES!$A$3:$A$502,0)</f>
        <v>#N/A</v>
      </c>
    </row>
    <row r="3632" spans="1:1" ht="18" customHeight="1" x14ac:dyDescent="0.35">
      <c r="A3632" s="274" t="e">
        <f>MATCH(B3632,STUDIES!$A$3:$A$502,0)</f>
        <v>#N/A</v>
      </c>
    </row>
    <row r="3633" spans="1:1" ht="18" customHeight="1" x14ac:dyDescent="0.35">
      <c r="A3633" s="274" t="e">
        <f>MATCH(B3633,STUDIES!$A$3:$A$502,0)</f>
        <v>#N/A</v>
      </c>
    </row>
    <row r="3634" spans="1:1" ht="18" customHeight="1" x14ac:dyDescent="0.35">
      <c r="A3634" s="274" t="e">
        <f>MATCH(B3634,STUDIES!$A$3:$A$502,0)</f>
        <v>#N/A</v>
      </c>
    </row>
    <row r="3635" spans="1:1" ht="18" customHeight="1" x14ac:dyDescent="0.35">
      <c r="A3635" s="274" t="e">
        <f>MATCH(B3635,STUDIES!$A$3:$A$502,0)</f>
        <v>#N/A</v>
      </c>
    </row>
    <row r="3636" spans="1:1" ht="18" customHeight="1" x14ac:dyDescent="0.35">
      <c r="A3636" s="274" t="e">
        <f>MATCH(B3636,STUDIES!$A$3:$A$502,0)</f>
        <v>#N/A</v>
      </c>
    </row>
    <row r="3637" spans="1:1" ht="18" customHeight="1" x14ac:dyDescent="0.35">
      <c r="A3637" s="274" t="e">
        <f>MATCH(B3637,STUDIES!$A$3:$A$502,0)</f>
        <v>#N/A</v>
      </c>
    </row>
    <row r="3638" spans="1:1" ht="18" customHeight="1" x14ac:dyDescent="0.35">
      <c r="A3638" s="274" t="e">
        <f>MATCH(B3638,STUDIES!$A$3:$A$502,0)</f>
        <v>#N/A</v>
      </c>
    </row>
    <row r="3639" spans="1:1" ht="18" customHeight="1" x14ac:dyDescent="0.35">
      <c r="A3639" s="274" t="e">
        <f>MATCH(B3639,STUDIES!$A$3:$A$502,0)</f>
        <v>#N/A</v>
      </c>
    </row>
    <row r="3640" spans="1:1" ht="18" customHeight="1" x14ac:dyDescent="0.35">
      <c r="A3640" s="274" t="e">
        <f>MATCH(B3640,STUDIES!$A$3:$A$502,0)</f>
        <v>#N/A</v>
      </c>
    </row>
    <row r="3641" spans="1:1" ht="18" customHeight="1" x14ac:dyDescent="0.35">
      <c r="A3641" s="274" t="e">
        <f>MATCH(B3641,STUDIES!$A$3:$A$502,0)</f>
        <v>#N/A</v>
      </c>
    </row>
    <row r="3642" spans="1:1" ht="18" customHeight="1" x14ac:dyDescent="0.35">
      <c r="A3642" s="274" t="e">
        <f>MATCH(B3642,STUDIES!$A$3:$A$502,0)</f>
        <v>#N/A</v>
      </c>
    </row>
    <row r="3643" spans="1:1" ht="18" customHeight="1" x14ac:dyDescent="0.35">
      <c r="A3643" s="274" t="e">
        <f>MATCH(B3643,STUDIES!$A$3:$A$502,0)</f>
        <v>#N/A</v>
      </c>
    </row>
    <row r="3644" spans="1:1" ht="18" customHeight="1" x14ac:dyDescent="0.35">
      <c r="A3644" s="274" t="e">
        <f>MATCH(B3644,STUDIES!$A$3:$A$502,0)</f>
        <v>#N/A</v>
      </c>
    </row>
    <row r="3645" spans="1:1" ht="18" customHeight="1" x14ac:dyDescent="0.35">
      <c r="A3645" s="274" t="e">
        <f>MATCH(B3645,STUDIES!$A$3:$A$502,0)</f>
        <v>#N/A</v>
      </c>
    </row>
    <row r="3646" spans="1:1" ht="18" customHeight="1" x14ac:dyDescent="0.35">
      <c r="A3646" s="274" t="e">
        <f>MATCH(B3646,STUDIES!$A$3:$A$502,0)</f>
        <v>#N/A</v>
      </c>
    </row>
    <row r="3647" spans="1:1" ht="18" customHeight="1" x14ac:dyDescent="0.35">
      <c r="A3647" s="274" t="e">
        <f>MATCH(B3647,STUDIES!$A$3:$A$502,0)</f>
        <v>#N/A</v>
      </c>
    </row>
    <row r="3648" spans="1:1" ht="18" customHeight="1" x14ac:dyDescent="0.35">
      <c r="A3648" s="274" t="e">
        <f>MATCH(B3648,STUDIES!$A$3:$A$502,0)</f>
        <v>#N/A</v>
      </c>
    </row>
    <row r="3649" spans="1:1" ht="18" customHeight="1" x14ac:dyDescent="0.35">
      <c r="A3649" s="274" t="e">
        <f>MATCH(B3649,STUDIES!$A$3:$A$502,0)</f>
        <v>#N/A</v>
      </c>
    </row>
    <row r="3650" spans="1:1" ht="18" customHeight="1" x14ac:dyDescent="0.35">
      <c r="A3650" s="274" t="e">
        <f>MATCH(B3650,STUDIES!$A$3:$A$502,0)</f>
        <v>#N/A</v>
      </c>
    </row>
    <row r="3651" spans="1:1" ht="18" customHeight="1" x14ac:dyDescent="0.35">
      <c r="A3651" s="274" t="e">
        <f>MATCH(B3651,STUDIES!$A$3:$A$502,0)</f>
        <v>#N/A</v>
      </c>
    </row>
    <row r="3652" spans="1:1" ht="18" customHeight="1" x14ac:dyDescent="0.35">
      <c r="A3652" s="274" t="e">
        <f>MATCH(B3652,STUDIES!$A$3:$A$502,0)</f>
        <v>#N/A</v>
      </c>
    </row>
    <row r="3653" spans="1:1" ht="18" customHeight="1" x14ac:dyDescent="0.35">
      <c r="A3653" s="274" t="e">
        <f>MATCH(B3653,STUDIES!$A$3:$A$502,0)</f>
        <v>#N/A</v>
      </c>
    </row>
    <row r="3654" spans="1:1" ht="18" customHeight="1" x14ac:dyDescent="0.35">
      <c r="A3654" s="274" t="e">
        <f>MATCH(B3654,STUDIES!$A$3:$A$502,0)</f>
        <v>#N/A</v>
      </c>
    </row>
    <row r="3655" spans="1:1" ht="18" customHeight="1" x14ac:dyDescent="0.35">
      <c r="A3655" s="274" t="e">
        <f>MATCH(B3655,STUDIES!$A$3:$A$502,0)</f>
        <v>#N/A</v>
      </c>
    </row>
    <row r="3656" spans="1:1" ht="18" customHeight="1" x14ac:dyDescent="0.35">
      <c r="A3656" s="274" t="e">
        <f>MATCH(B3656,STUDIES!$A$3:$A$502,0)</f>
        <v>#N/A</v>
      </c>
    </row>
    <row r="3657" spans="1:1" ht="18" customHeight="1" x14ac:dyDescent="0.35">
      <c r="A3657" s="274" t="e">
        <f>MATCH(B3657,STUDIES!$A$3:$A$502,0)</f>
        <v>#N/A</v>
      </c>
    </row>
    <row r="3658" spans="1:1" ht="18" customHeight="1" x14ac:dyDescent="0.35">
      <c r="A3658" s="274" t="e">
        <f>MATCH(B3658,STUDIES!$A$3:$A$502,0)</f>
        <v>#N/A</v>
      </c>
    </row>
    <row r="3659" spans="1:1" ht="18" customHeight="1" x14ac:dyDescent="0.35">
      <c r="A3659" s="274" t="e">
        <f>MATCH(B3659,STUDIES!$A$3:$A$502,0)</f>
        <v>#N/A</v>
      </c>
    </row>
    <row r="3660" spans="1:1" ht="18" customHeight="1" x14ac:dyDescent="0.35">
      <c r="A3660" s="274" t="e">
        <f>MATCH(B3660,STUDIES!$A$3:$A$502,0)</f>
        <v>#N/A</v>
      </c>
    </row>
    <row r="3661" spans="1:1" ht="18" customHeight="1" x14ac:dyDescent="0.35">
      <c r="A3661" s="274" t="e">
        <f>MATCH(B3661,STUDIES!$A$3:$A$502,0)</f>
        <v>#N/A</v>
      </c>
    </row>
    <row r="3662" spans="1:1" ht="18" customHeight="1" x14ac:dyDescent="0.35">
      <c r="A3662" s="274" t="e">
        <f>MATCH(B3662,STUDIES!$A$3:$A$502,0)</f>
        <v>#N/A</v>
      </c>
    </row>
    <row r="3663" spans="1:1" ht="18" customHeight="1" x14ac:dyDescent="0.35">
      <c r="A3663" s="274" t="e">
        <f>MATCH(B3663,STUDIES!$A$3:$A$502,0)</f>
        <v>#N/A</v>
      </c>
    </row>
    <row r="3664" spans="1:1" ht="18" customHeight="1" x14ac:dyDescent="0.35">
      <c r="A3664" s="274" t="e">
        <f>MATCH(B3664,STUDIES!$A$3:$A$502,0)</f>
        <v>#N/A</v>
      </c>
    </row>
    <row r="3665" spans="1:1" ht="18" customHeight="1" x14ac:dyDescent="0.35">
      <c r="A3665" s="274" t="e">
        <f>MATCH(B3665,STUDIES!$A$3:$A$502,0)</f>
        <v>#N/A</v>
      </c>
    </row>
    <row r="3666" spans="1:1" ht="18" customHeight="1" x14ac:dyDescent="0.35">
      <c r="A3666" s="274" t="e">
        <f>MATCH(B3666,STUDIES!$A$3:$A$502,0)</f>
        <v>#N/A</v>
      </c>
    </row>
    <row r="3667" spans="1:1" ht="18" customHeight="1" x14ac:dyDescent="0.35">
      <c r="A3667" s="274" t="e">
        <f>MATCH(B3667,STUDIES!$A$3:$A$502,0)</f>
        <v>#N/A</v>
      </c>
    </row>
    <row r="3668" spans="1:1" ht="18" customHeight="1" x14ac:dyDescent="0.35">
      <c r="A3668" s="274" t="e">
        <f>MATCH(B3668,STUDIES!$A$3:$A$502,0)</f>
        <v>#N/A</v>
      </c>
    </row>
    <row r="3669" spans="1:1" ht="18" customHeight="1" x14ac:dyDescent="0.35">
      <c r="A3669" s="274" t="e">
        <f>MATCH(B3669,STUDIES!$A$3:$A$502,0)</f>
        <v>#N/A</v>
      </c>
    </row>
    <row r="3670" spans="1:1" ht="18" customHeight="1" x14ac:dyDescent="0.35">
      <c r="A3670" s="274" t="e">
        <f>MATCH(B3670,STUDIES!$A$3:$A$502,0)</f>
        <v>#N/A</v>
      </c>
    </row>
    <row r="3671" spans="1:1" ht="18" customHeight="1" x14ac:dyDescent="0.35">
      <c r="A3671" s="274" t="e">
        <f>MATCH(B3671,STUDIES!$A$3:$A$502,0)</f>
        <v>#N/A</v>
      </c>
    </row>
    <row r="3672" spans="1:1" ht="18" customHeight="1" x14ac:dyDescent="0.35">
      <c r="A3672" s="274" t="e">
        <f>MATCH(B3672,STUDIES!$A$3:$A$502,0)</f>
        <v>#N/A</v>
      </c>
    </row>
    <row r="3673" spans="1:1" ht="18" customHeight="1" x14ac:dyDescent="0.35">
      <c r="A3673" s="274" t="e">
        <f>MATCH(B3673,STUDIES!$A$3:$A$502,0)</f>
        <v>#N/A</v>
      </c>
    </row>
    <row r="3674" spans="1:1" ht="18" customHeight="1" x14ac:dyDescent="0.35">
      <c r="A3674" s="274" t="e">
        <f>MATCH(B3674,STUDIES!$A$3:$A$502,0)</f>
        <v>#N/A</v>
      </c>
    </row>
    <row r="3675" spans="1:1" ht="18" customHeight="1" x14ac:dyDescent="0.35">
      <c r="A3675" s="274" t="e">
        <f>MATCH(B3675,STUDIES!$A$3:$A$502,0)</f>
        <v>#N/A</v>
      </c>
    </row>
    <row r="3676" spans="1:1" ht="18" customHeight="1" x14ac:dyDescent="0.35">
      <c r="A3676" s="274" t="e">
        <f>MATCH(B3676,STUDIES!$A$3:$A$502,0)</f>
        <v>#N/A</v>
      </c>
    </row>
    <row r="3677" spans="1:1" ht="18" customHeight="1" x14ac:dyDescent="0.35">
      <c r="A3677" s="274" t="e">
        <f>MATCH(B3677,STUDIES!$A$3:$A$502,0)</f>
        <v>#N/A</v>
      </c>
    </row>
    <row r="3678" spans="1:1" ht="18" customHeight="1" x14ac:dyDescent="0.35">
      <c r="A3678" s="274" t="e">
        <f>MATCH(B3678,STUDIES!$A$3:$A$502,0)</f>
        <v>#N/A</v>
      </c>
    </row>
    <row r="3679" spans="1:1" ht="18" customHeight="1" x14ac:dyDescent="0.35">
      <c r="A3679" s="274" t="e">
        <f>MATCH(B3679,STUDIES!$A$3:$A$502,0)</f>
        <v>#N/A</v>
      </c>
    </row>
    <row r="3680" spans="1:1" ht="18" customHeight="1" x14ac:dyDescent="0.35">
      <c r="A3680" s="274" t="e">
        <f>MATCH(B3680,STUDIES!$A$3:$A$502,0)</f>
        <v>#N/A</v>
      </c>
    </row>
    <row r="3681" spans="1:1" ht="18" customHeight="1" x14ac:dyDescent="0.35">
      <c r="A3681" s="274" t="e">
        <f>MATCH(B3681,STUDIES!$A$3:$A$502,0)</f>
        <v>#N/A</v>
      </c>
    </row>
    <row r="3682" spans="1:1" ht="18" customHeight="1" x14ac:dyDescent="0.35">
      <c r="A3682" s="274" t="e">
        <f>MATCH(B3682,STUDIES!$A$3:$A$502,0)</f>
        <v>#N/A</v>
      </c>
    </row>
    <row r="3683" spans="1:1" ht="18" customHeight="1" x14ac:dyDescent="0.35">
      <c r="A3683" s="274" t="e">
        <f>MATCH(B3683,STUDIES!$A$3:$A$502,0)</f>
        <v>#N/A</v>
      </c>
    </row>
    <row r="3684" spans="1:1" ht="18" customHeight="1" x14ac:dyDescent="0.35">
      <c r="A3684" s="274" t="e">
        <f>MATCH(B3684,STUDIES!$A$3:$A$502,0)</f>
        <v>#N/A</v>
      </c>
    </row>
    <row r="3685" spans="1:1" ht="18" customHeight="1" x14ac:dyDescent="0.35">
      <c r="A3685" s="274" t="e">
        <f>MATCH(B3685,STUDIES!$A$3:$A$502,0)</f>
        <v>#N/A</v>
      </c>
    </row>
    <row r="3686" spans="1:1" ht="18" customHeight="1" x14ac:dyDescent="0.35">
      <c r="A3686" s="274" t="e">
        <f>MATCH(B3686,STUDIES!$A$3:$A$502,0)</f>
        <v>#N/A</v>
      </c>
    </row>
    <row r="3687" spans="1:1" ht="18" customHeight="1" x14ac:dyDescent="0.35">
      <c r="A3687" s="274" t="e">
        <f>MATCH(B3687,STUDIES!$A$3:$A$502,0)</f>
        <v>#N/A</v>
      </c>
    </row>
    <row r="3688" spans="1:1" ht="18" customHeight="1" x14ac:dyDescent="0.35">
      <c r="A3688" s="274" t="e">
        <f>MATCH(B3688,STUDIES!$A$3:$A$502,0)</f>
        <v>#N/A</v>
      </c>
    </row>
    <row r="3689" spans="1:1" ht="18" customHeight="1" x14ac:dyDescent="0.35">
      <c r="A3689" s="274" t="e">
        <f>MATCH(B3689,STUDIES!$A$3:$A$502,0)</f>
        <v>#N/A</v>
      </c>
    </row>
    <row r="3690" spans="1:1" ht="18" customHeight="1" x14ac:dyDescent="0.35">
      <c r="A3690" s="274" t="e">
        <f>MATCH(B3690,STUDIES!$A$3:$A$502,0)</f>
        <v>#N/A</v>
      </c>
    </row>
    <row r="3691" spans="1:1" ht="18" customHeight="1" x14ac:dyDescent="0.35">
      <c r="A3691" s="274" t="e">
        <f>MATCH(B3691,STUDIES!$A$3:$A$502,0)</f>
        <v>#N/A</v>
      </c>
    </row>
    <row r="3692" spans="1:1" ht="18" customHeight="1" x14ac:dyDescent="0.35">
      <c r="A3692" s="274" t="e">
        <f>MATCH(B3692,STUDIES!$A$3:$A$502,0)</f>
        <v>#N/A</v>
      </c>
    </row>
    <row r="3693" spans="1:1" ht="18" customHeight="1" x14ac:dyDescent="0.35">
      <c r="A3693" s="274" t="e">
        <f>MATCH(B3693,STUDIES!$A$3:$A$502,0)</f>
        <v>#N/A</v>
      </c>
    </row>
    <row r="3694" spans="1:1" ht="18" customHeight="1" x14ac:dyDescent="0.35">
      <c r="A3694" s="274" t="e">
        <f>MATCH(B3694,STUDIES!$A$3:$A$502,0)</f>
        <v>#N/A</v>
      </c>
    </row>
    <row r="3695" spans="1:1" ht="18" customHeight="1" x14ac:dyDescent="0.35">
      <c r="A3695" s="274" t="e">
        <f>MATCH(B3695,STUDIES!$A$3:$A$502,0)</f>
        <v>#N/A</v>
      </c>
    </row>
    <row r="3696" spans="1:1" ht="18" customHeight="1" x14ac:dyDescent="0.35">
      <c r="A3696" s="274" t="e">
        <f>MATCH(B3696,STUDIES!$A$3:$A$502,0)</f>
        <v>#N/A</v>
      </c>
    </row>
    <row r="3697" spans="1:1" ht="18" customHeight="1" x14ac:dyDescent="0.35">
      <c r="A3697" s="274" t="e">
        <f>MATCH(B3697,STUDIES!$A$3:$A$502,0)</f>
        <v>#N/A</v>
      </c>
    </row>
    <row r="3698" spans="1:1" ht="18" customHeight="1" x14ac:dyDescent="0.35">
      <c r="A3698" s="274" t="e">
        <f>MATCH(B3698,STUDIES!$A$3:$A$502,0)</f>
        <v>#N/A</v>
      </c>
    </row>
    <row r="3699" spans="1:1" ht="18" customHeight="1" x14ac:dyDescent="0.35">
      <c r="A3699" s="274" t="e">
        <f>MATCH(B3699,STUDIES!$A$3:$A$502,0)</f>
        <v>#N/A</v>
      </c>
    </row>
    <row r="3700" spans="1:1" ht="18" customHeight="1" x14ac:dyDescent="0.35">
      <c r="A3700" s="274" t="e">
        <f>MATCH(B3700,STUDIES!$A$3:$A$502,0)</f>
        <v>#N/A</v>
      </c>
    </row>
    <row r="3701" spans="1:1" ht="18" customHeight="1" x14ac:dyDescent="0.35">
      <c r="A3701" s="274" t="e">
        <f>MATCH(B3701,STUDIES!$A$3:$A$502,0)</f>
        <v>#N/A</v>
      </c>
    </row>
    <row r="3702" spans="1:1" ht="18" customHeight="1" x14ac:dyDescent="0.35">
      <c r="A3702" s="274" t="e">
        <f>MATCH(B3702,STUDIES!$A$3:$A$502,0)</f>
        <v>#N/A</v>
      </c>
    </row>
    <row r="3703" spans="1:1" ht="18" customHeight="1" x14ac:dyDescent="0.35">
      <c r="A3703" s="274" t="e">
        <f>MATCH(B3703,STUDIES!$A$3:$A$502,0)</f>
        <v>#N/A</v>
      </c>
    </row>
    <row r="3704" spans="1:1" ht="18" customHeight="1" x14ac:dyDescent="0.35">
      <c r="A3704" s="274" t="e">
        <f>MATCH(B3704,STUDIES!$A$3:$A$502,0)</f>
        <v>#N/A</v>
      </c>
    </row>
    <row r="3705" spans="1:1" ht="18" customHeight="1" x14ac:dyDescent="0.35">
      <c r="A3705" s="274" t="e">
        <f>MATCH(B3705,STUDIES!$A$3:$A$502,0)</f>
        <v>#N/A</v>
      </c>
    </row>
    <row r="3706" spans="1:1" ht="18" customHeight="1" x14ac:dyDescent="0.35">
      <c r="A3706" s="274" t="e">
        <f>MATCH(B3706,STUDIES!$A$3:$A$502,0)</f>
        <v>#N/A</v>
      </c>
    </row>
    <row r="3707" spans="1:1" ht="18" customHeight="1" x14ac:dyDescent="0.35">
      <c r="A3707" s="274" t="e">
        <f>MATCH(B3707,STUDIES!$A$3:$A$502,0)</f>
        <v>#N/A</v>
      </c>
    </row>
    <row r="3708" spans="1:1" ht="18" customHeight="1" x14ac:dyDescent="0.35">
      <c r="A3708" s="274" t="e">
        <f>MATCH(B3708,STUDIES!$A$3:$A$502,0)</f>
        <v>#N/A</v>
      </c>
    </row>
    <row r="3709" spans="1:1" ht="18" customHeight="1" x14ac:dyDescent="0.35">
      <c r="A3709" s="274" t="e">
        <f>MATCH(B3709,STUDIES!$A$3:$A$502,0)</f>
        <v>#N/A</v>
      </c>
    </row>
    <row r="3710" spans="1:1" ht="18" customHeight="1" x14ac:dyDescent="0.35">
      <c r="A3710" s="274" t="e">
        <f>MATCH(B3710,STUDIES!$A$3:$A$502,0)</f>
        <v>#N/A</v>
      </c>
    </row>
    <row r="3711" spans="1:1" ht="18" customHeight="1" x14ac:dyDescent="0.35">
      <c r="A3711" s="274" t="e">
        <f>MATCH(B3711,STUDIES!$A$3:$A$502,0)</f>
        <v>#N/A</v>
      </c>
    </row>
    <row r="3712" spans="1:1" ht="18" customHeight="1" x14ac:dyDescent="0.35">
      <c r="A3712" s="274" t="e">
        <f>MATCH(B3712,STUDIES!$A$3:$A$502,0)</f>
        <v>#N/A</v>
      </c>
    </row>
    <row r="3713" spans="1:1" ht="18" customHeight="1" x14ac:dyDescent="0.35">
      <c r="A3713" s="274" t="e">
        <f>MATCH(B3713,STUDIES!$A$3:$A$502,0)</f>
        <v>#N/A</v>
      </c>
    </row>
    <row r="3714" spans="1:1" ht="18" customHeight="1" x14ac:dyDescent="0.35">
      <c r="A3714" s="274" t="e">
        <f>MATCH(B3714,STUDIES!$A$3:$A$502,0)</f>
        <v>#N/A</v>
      </c>
    </row>
    <row r="3715" spans="1:1" ht="18" customHeight="1" x14ac:dyDescent="0.35">
      <c r="A3715" s="274" t="e">
        <f>MATCH(B3715,STUDIES!$A$3:$A$502,0)</f>
        <v>#N/A</v>
      </c>
    </row>
    <row r="3716" spans="1:1" ht="18" customHeight="1" x14ac:dyDescent="0.35">
      <c r="A3716" s="274" t="e">
        <f>MATCH(B3716,STUDIES!$A$3:$A$502,0)</f>
        <v>#N/A</v>
      </c>
    </row>
    <row r="3717" spans="1:1" ht="18" customHeight="1" x14ac:dyDescent="0.35">
      <c r="A3717" s="274" t="e">
        <f>MATCH(B3717,STUDIES!$A$3:$A$502,0)</f>
        <v>#N/A</v>
      </c>
    </row>
    <row r="3718" spans="1:1" ht="18" customHeight="1" x14ac:dyDescent="0.35">
      <c r="A3718" s="274" t="e">
        <f>MATCH(B3718,STUDIES!$A$3:$A$502,0)</f>
        <v>#N/A</v>
      </c>
    </row>
    <row r="3719" spans="1:1" ht="18" customHeight="1" x14ac:dyDescent="0.35">
      <c r="A3719" s="274" t="e">
        <f>MATCH(B3719,STUDIES!$A$3:$A$502,0)</f>
        <v>#N/A</v>
      </c>
    </row>
    <row r="3720" spans="1:1" ht="18" customHeight="1" x14ac:dyDescent="0.35">
      <c r="A3720" s="274" t="e">
        <f>MATCH(B3720,STUDIES!$A$3:$A$502,0)</f>
        <v>#N/A</v>
      </c>
    </row>
    <row r="3721" spans="1:1" ht="18" customHeight="1" x14ac:dyDescent="0.35">
      <c r="A3721" s="274" t="e">
        <f>MATCH(B3721,STUDIES!$A$3:$A$502,0)</f>
        <v>#N/A</v>
      </c>
    </row>
    <row r="3722" spans="1:1" ht="18" customHeight="1" x14ac:dyDescent="0.35">
      <c r="A3722" s="274" t="e">
        <f>MATCH(B3722,STUDIES!$A$3:$A$502,0)</f>
        <v>#N/A</v>
      </c>
    </row>
    <row r="3723" spans="1:1" ht="18" customHeight="1" x14ac:dyDescent="0.35">
      <c r="A3723" s="274" t="e">
        <f>MATCH(B3723,STUDIES!$A$3:$A$502,0)</f>
        <v>#N/A</v>
      </c>
    </row>
    <row r="3724" spans="1:1" ht="18" customHeight="1" x14ac:dyDescent="0.35">
      <c r="A3724" s="274" t="e">
        <f>MATCH(B3724,STUDIES!$A$3:$A$502,0)</f>
        <v>#N/A</v>
      </c>
    </row>
    <row r="3725" spans="1:1" ht="18" customHeight="1" x14ac:dyDescent="0.35">
      <c r="A3725" s="274" t="e">
        <f>MATCH(B3725,STUDIES!$A$3:$A$502,0)</f>
        <v>#N/A</v>
      </c>
    </row>
    <row r="3726" spans="1:1" ht="18" customHeight="1" x14ac:dyDescent="0.35">
      <c r="A3726" s="274" t="e">
        <f>MATCH(B3726,STUDIES!$A$3:$A$502,0)</f>
        <v>#N/A</v>
      </c>
    </row>
    <row r="3727" spans="1:1" ht="18" customHeight="1" x14ac:dyDescent="0.35">
      <c r="A3727" s="274" t="e">
        <f>MATCH(B3727,STUDIES!$A$3:$A$502,0)</f>
        <v>#N/A</v>
      </c>
    </row>
    <row r="3728" spans="1:1" ht="18" customHeight="1" x14ac:dyDescent="0.35">
      <c r="A3728" s="274" t="e">
        <f>MATCH(B3728,STUDIES!$A$3:$A$502,0)</f>
        <v>#N/A</v>
      </c>
    </row>
    <row r="3729" spans="1:1" ht="18" customHeight="1" x14ac:dyDescent="0.35">
      <c r="A3729" s="274" t="e">
        <f>MATCH(B3729,STUDIES!$A$3:$A$502,0)</f>
        <v>#N/A</v>
      </c>
    </row>
    <row r="3730" spans="1:1" ht="18" customHeight="1" x14ac:dyDescent="0.35">
      <c r="A3730" s="274" t="e">
        <f>MATCH(B3730,STUDIES!$A$3:$A$502,0)</f>
        <v>#N/A</v>
      </c>
    </row>
    <row r="3731" spans="1:1" ht="18" customHeight="1" x14ac:dyDescent="0.35">
      <c r="A3731" s="274" t="e">
        <f>MATCH(B3731,STUDIES!$A$3:$A$502,0)</f>
        <v>#N/A</v>
      </c>
    </row>
    <row r="3732" spans="1:1" ht="18" customHeight="1" x14ac:dyDescent="0.35">
      <c r="A3732" s="274" t="e">
        <f>MATCH(B3732,STUDIES!$A$3:$A$502,0)</f>
        <v>#N/A</v>
      </c>
    </row>
    <row r="3733" spans="1:1" ht="18" customHeight="1" x14ac:dyDescent="0.35">
      <c r="A3733" s="274" t="e">
        <f>MATCH(B3733,STUDIES!$A$3:$A$502,0)</f>
        <v>#N/A</v>
      </c>
    </row>
    <row r="3734" spans="1:1" ht="18" customHeight="1" x14ac:dyDescent="0.35">
      <c r="A3734" s="274" t="e">
        <f>MATCH(B3734,STUDIES!$A$3:$A$502,0)</f>
        <v>#N/A</v>
      </c>
    </row>
    <row r="3735" spans="1:1" ht="18" customHeight="1" x14ac:dyDescent="0.35">
      <c r="A3735" s="274" t="e">
        <f>MATCH(B3735,STUDIES!$A$3:$A$502,0)</f>
        <v>#N/A</v>
      </c>
    </row>
    <row r="3736" spans="1:1" ht="18" customHeight="1" x14ac:dyDescent="0.35">
      <c r="A3736" s="274" t="e">
        <f>MATCH(B3736,STUDIES!$A$3:$A$502,0)</f>
        <v>#N/A</v>
      </c>
    </row>
    <row r="3737" spans="1:1" ht="18" customHeight="1" x14ac:dyDescent="0.35">
      <c r="A3737" s="274" t="e">
        <f>MATCH(B3737,STUDIES!$A$3:$A$502,0)</f>
        <v>#N/A</v>
      </c>
    </row>
    <row r="3738" spans="1:1" ht="18" customHeight="1" x14ac:dyDescent="0.35">
      <c r="A3738" s="274" t="e">
        <f>MATCH(B3738,STUDIES!$A$3:$A$502,0)</f>
        <v>#N/A</v>
      </c>
    </row>
    <row r="3739" spans="1:1" ht="18" customHeight="1" x14ac:dyDescent="0.35">
      <c r="A3739" s="274" t="e">
        <f>MATCH(B3739,STUDIES!$A$3:$A$502,0)</f>
        <v>#N/A</v>
      </c>
    </row>
    <row r="3740" spans="1:1" ht="18" customHeight="1" x14ac:dyDescent="0.35">
      <c r="A3740" s="274" t="e">
        <f>MATCH(B3740,STUDIES!$A$3:$A$502,0)</f>
        <v>#N/A</v>
      </c>
    </row>
    <row r="3741" spans="1:1" ht="18" customHeight="1" x14ac:dyDescent="0.35">
      <c r="A3741" s="274" t="e">
        <f>MATCH(B3741,STUDIES!$A$3:$A$502,0)</f>
        <v>#N/A</v>
      </c>
    </row>
    <row r="3742" spans="1:1" ht="18" customHeight="1" x14ac:dyDescent="0.35">
      <c r="A3742" s="274" t="e">
        <f>MATCH(B3742,STUDIES!$A$3:$A$502,0)</f>
        <v>#N/A</v>
      </c>
    </row>
    <row r="3743" spans="1:1" ht="18" customHeight="1" x14ac:dyDescent="0.35">
      <c r="A3743" s="274" t="e">
        <f>MATCH(B3743,STUDIES!$A$3:$A$502,0)</f>
        <v>#N/A</v>
      </c>
    </row>
    <row r="3744" spans="1:1" ht="18" customHeight="1" x14ac:dyDescent="0.35">
      <c r="A3744" s="274" t="e">
        <f>MATCH(B3744,STUDIES!$A$3:$A$502,0)</f>
        <v>#N/A</v>
      </c>
    </row>
    <row r="3745" spans="1:1" ht="18" customHeight="1" x14ac:dyDescent="0.35">
      <c r="A3745" s="274" t="e">
        <f>MATCH(B3745,STUDIES!$A$3:$A$502,0)</f>
        <v>#N/A</v>
      </c>
    </row>
    <row r="3746" spans="1:1" ht="18" customHeight="1" x14ac:dyDescent="0.35">
      <c r="A3746" s="274" t="e">
        <f>MATCH(B3746,STUDIES!$A$3:$A$502,0)</f>
        <v>#N/A</v>
      </c>
    </row>
    <row r="3747" spans="1:1" ht="18" customHeight="1" x14ac:dyDescent="0.35">
      <c r="A3747" s="274" t="e">
        <f>MATCH(B3747,STUDIES!$A$3:$A$502,0)</f>
        <v>#N/A</v>
      </c>
    </row>
    <row r="3748" spans="1:1" ht="18" customHeight="1" x14ac:dyDescent="0.35">
      <c r="A3748" s="274" t="e">
        <f>MATCH(B3748,STUDIES!$A$3:$A$502,0)</f>
        <v>#N/A</v>
      </c>
    </row>
    <row r="3749" spans="1:1" ht="18" customHeight="1" x14ac:dyDescent="0.35">
      <c r="A3749" s="274" t="e">
        <f>MATCH(B3749,STUDIES!$A$3:$A$502,0)</f>
        <v>#N/A</v>
      </c>
    </row>
    <row r="3750" spans="1:1" ht="18" customHeight="1" x14ac:dyDescent="0.35">
      <c r="A3750" s="274" t="e">
        <f>MATCH(B3750,STUDIES!$A$3:$A$502,0)</f>
        <v>#N/A</v>
      </c>
    </row>
    <row r="3751" spans="1:1" ht="18" customHeight="1" x14ac:dyDescent="0.35">
      <c r="A3751" s="274" t="e">
        <f>MATCH(B3751,STUDIES!$A$3:$A$502,0)</f>
        <v>#N/A</v>
      </c>
    </row>
    <row r="3752" spans="1:1" ht="18" customHeight="1" x14ac:dyDescent="0.35">
      <c r="A3752" s="274" t="e">
        <f>MATCH(B3752,STUDIES!$A$3:$A$502,0)</f>
        <v>#N/A</v>
      </c>
    </row>
    <row r="3753" spans="1:1" ht="18" customHeight="1" x14ac:dyDescent="0.35">
      <c r="A3753" s="274" t="e">
        <f>MATCH(B3753,STUDIES!$A$3:$A$502,0)</f>
        <v>#N/A</v>
      </c>
    </row>
    <row r="3754" spans="1:1" ht="18" customHeight="1" x14ac:dyDescent="0.35">
      <c r="A3754" s="274" t="e">
        <f>MATCH(B3754,STUDIES!$A$3:$A$502,0)</f>
        <v>#N/A</v>
      </c>
    </row>
    <row r="3755" spans="1:1" ht="18" customHeight="1" x14ac:dyDescent="0.35">
      <c r="A3755" s="274" t="e">
        <f>MATCH(B3755,STUDIES!$A$3:$A$502,0)</f>
        <v>#N/A</v>
      </c>
    </row>
    <row r="3756" spans="1:1" ht="18" customHeight="1" x14ac:dyDescent="0.35">
      <c r="A3756" s="274" t="e">
        <f>MATCH(B3756,STUDIES!$A$3:$A$502,0)</f>
        <v>#N/A</v>
      </c>
    </row>
    <row r="3757" spans="1:1" ht="18" customHeight="1" x14ac:dyDescent="0.35">
      <c r="A3757" s="274" t="e">
        <f>MATCH(B3757,STUDIES!$A$3:$A$502,0)</f>
        <v>#N/A</v>
      </c>
    </row>
    <row r="3758" spans="1:1" ht="18" customHeight="1" x14ac:dyDescent="0.35">
      <c r="A3758" s="274" t="e">
        <f>MATCH(B3758,STUDIES!$A$3:$A$502,0)</f>
        <v>#N/A</v>
      </c>
    </row>
    <row r="3759" spans="1:1" ht="18" customHeight="1" x14ac:dyDescent="0.35">
      <c r="A3759" s="274" t="e">
        <f>MATCH(B3759,STUDIES!$A$3:$A$502,0)</f>
        <v>#N/A</v>
      </c>
    </row>
    <row r="3760" spans="1:1" ht="18" customHeight="1" x14ac:dyDescent="0.35">
      <c r="A3760" s="274" t="e">
        <f>MATCH(B3760,STUDIES!$A$3:$A$502,0)</f>
        <v>#N/A</v>
      </c>
    </row>
    <row r="3761" spans="1:1" ht="18" customHeight="1" x14ac:dyDescent="0.35">
      <c r="A3761" s="274" t="e">
        <f>MATCH(B3761,STUDIES!$A$3:$A$502,0)</f>
        <v>#N/A</v>
      </c>
    </row>
    <row r="3762" spans="1:1" ht="18" customHeight="1" x14ac:dyDescent="0.35">
      <c r="A3762" s="274" t="e">
        <f>MATCH(B3762,STUDIES!$A$3:$A$502,0)</f>
        <v>#N/A</v>
      </c>
    </row>
    <row r="3763" spans="1:1" ht="18" customHeight="1" x14ac:dyDescent="0.35">
      <c r="A3763" s="274" t="e">
        <f>MATCH(B3763,STUDIES!$A$3:$A$502,0)</f>
        <v>#N/A</v>
      </c>
    </row>
    <row r="3764" spans="1:1" ht="18" customHeight="1" x14ac:dyDescent="0.35">
      <c r="A3764" s="274" t="e">
        <f>MATCH(B3764,STUDIES!$A$3:$A$502,0)</f>
        <v>#N/A</v>
      </c>
    </row>
    <row r="3765" spans="1:1" ht="18" customHeight="1" x14ac:dyDescent="0.35">
      <c r="A3765" s="274" t="e">
        <f>MATCH(B3765,STUDIES!$A$3:$A$502,0)</f>
        <v>#N/A</v>
      </c>
    </row>
    <row r="3766" spans="1:1" ht="18" customHeight="1" x14ac:dyDescent="0.35">
      <c r="A3766" s="274" t="e">
        <f>MATCH(B3766,STUDIES!$A$3:$A$502,0)</f>
        <v>#N/A</v>
      </c>
    </row>
    <row r="3767" spans="1:1" ht="18" customHeight="1" x14ac:dyDescent="0.35">
      <c r="A3767" s="274" t="e">
        <f>MATCH(B3767,STUDIES!$A$3:$A$502,0)</f>
        <v>#N/A</v>
      </c>
    </row>
    <row r="3768" spans="1:1" ht="18" customHeight="1" x14ac:dyDescent="0.35">
      <c r="A3768" s="274" t="e">
        <f>MATCH(B3768,STUDIES!$A$3:$A$502,0)</f>
        <v>#N/A</v>
      </c>
    </row>
    <row r="3769" spans="1:1" ht="18" customHeight="1" x14ac:dyDescent="0.35">
      <c r="A3769" s="274" t="e">
        <f>MATCH(B3769,STUDIES!$A$3:$A$502,0)</f>
        <v>#N/A</v>
      </c>
    </row>
    <row r="3770" spans="1:1" ht="18" customHeight="1" x14ac:dyDescent="0.35">
      <c r="A3770" s="274" t="e">
        <f>MATCH(B3770,STUDIES!$A$3:$A$502,0)</f>
        <v>#N/A</v>
      </c>
    </row>
    <row r="3771" spans="1:1" ht="18" customHeight="1" x14ac:dyDescent="0.35">
      <c r="A3771" s="274" t="e">
        <f>MATCH(B3771,STUDIES!$A$3:$A$502,0)</f>
        <v>#N/A</v>
      </c>
    </row>
    <row r="3772" spans="1:1" ht="18" customHeight="1" x14ac:dyDescent="0.35">
      <c r="A3772" s="274" t="e">
        <f>MATCH(B3772,STUDIES!$A$3:$A$502,0)</f>
        <v>#N/A</v>
      </c>
    </row>
    <row r="3773" spans="1:1" ht="18" customHeight="1" x14ac:dyDescent="0.35">
      <c r="A3773" s="274" t="e">
        <f>MATCH(B3773,STUDIES!$A$3:$A$502,0)</f>
        <v>#N/A</v>
      </c>
    </row>
    <row r="3774" spans="1:1" ht="18" customHeight="1" x14ac:dyDescent="0.35">
      <c r="A3774" s="274" t="e">
        <f>MATCH(B3774,STUDIES!$A$3:$A$502,0)</f>
        <v>#N/A</v>
      </c>
    </row>
    <row r="3775" spans="1:1" ht="18" customHeight="1" x14ac:dyDescent="0.35">
      <c r="A3775" s="274" t="e">
        <f>MATCH(B3775,STUDIES!$A$3:$A$502,0)</f>
        <v>#N/A</v>
      </c>
    </row>
    <row r="3776" spans="1:1" ht="18" customHeight="1" x14ac:dyDescent="0.35">
      <c r="A3776" s="274" t="e">
        <f>MATCH(B3776,STUDIES!$A$3:$A$502,0)</f>
        <v>#N/A</v>
      </c>
    </row>
    <row r="3777" spans="1:1" ht="18" customHeight="1" x14ac:dyDescent="0.35">
      <c r="A3777" s="274" t="e">
        <f>MATCH(B3777,STUDIES!$A$3:$A$502,0)</f>
        <v>#N/A</v>
      </c>
    </row>
    <row r="3778" spans="1:1" ht="18" customHeight="1" x14ac:dyDescent="0.35">
      <c r="A3778" s="274" t="e">
        <f>MATCH(B3778,STUDIES!$A$3:$A$502,0)</f>
        <v>#N/A</v>
      </c>
    </row>
    <row r="3779" spans="1:1" ht="18" customHeight="1" x14ac:dyDescent="0.35">
      <c r="A3779" s="274" t="e">
        <f>MATCH(B3779,STUDIES!$A$3:$A$502,0)</f>
        <v>#N/A</v>
      </c>
    </row>
    <row r="3780" spans="1:1" ht="18" customHeight="1" x14ac:dyDescent="0.35">
      <c r="A3780" s="274" t="e">
        <f>MATCH(B3780,STUDIES!$A$3:$A$502,0)</f>
        <v>#N/A</v>
      </c>
    </row>
    <row r="3781" spans="1:1" ht="18" customHeight="1" x14ac:dyDescent="0.35">
      <c r="A3781" s="274" t="e">
        <f>MATCH(B3781,STUDIES!$A$3:$A$502,0)</f>
        <v>#N/A</v>
      </c>
    </row>
    <row r="3782" spans="1:1" ht="18" customHeight="1" x14ac:dyDescent="0.35">
      <c r="A3782" s="274" t="e">
        <f>MATCH(B3782,STUDIES!$A$3:$A$502,0)</f>
        <v>#N/A</v>
      </c>
    </row>
    <row r="3783" spans="1:1" ht="18" customHeight="1" x14ac:dyDescent="0.35">
      <c r="A3783" s="274" t="e">
        <f>MATCH(B3783,STUDIES!$A$3:$A$502,0)</f>
        <v>#N/A</v>
      </c>
    </row>
    <row r="3784" spans="1:1" ht="18" customHeight="1" x14ac:dyDescent="0.35">
      <c r="A3784" s="274" t="e">
        <f>MATCH(B3784,STUDIES!$A$3:$A$502,0)</f>
        <v>#N/A</v>
      </c>
    </row>
    <row r="3785" spans="1:1" ht="18" customHeight="1" x14ac:dyDescent="0.35">
      <c r="A3785" s="274" t="e">
        <f>MATCH(B3785,STUDIES!$A$3:$A$502,0)</f>
        <v>#N/A</v>
      </c>
    </row>
    <row r="3786" spans="1:1" ht="18" customHeight="1" x14ac:dyDescent="0.35">
      <c r="A3786" s="274" t="e">
        <f>MATCH(B3786,STUDIES!$A$3:$A$502,0)</f>
        <v>#N/A</v>
      </c>
    </row>
    <row r="3787" spans="1:1" ht="18" customHeight="1" x14ac:dyDescent="0.35">
      <c r="A3787" s="274" t="e">
        <f>MATCH(B3787,STUDIES!$A$3:$A$502,0)</f>
        <v>#N/A</v>
      </c>
    </row>
    <row r="3788" spans="1:1" ht="18" customHeight="1" x14ac:dyDescent="0.35">
      <c r="A3788" s="274" t="e">
        <f>MATCH(B3788,STUDIES!$A$3:$A$502,0)</f>
        <v>#N/A</v>
      </c>
    </row>
    <row r="3789" spans="1:1" ht="18" customHeight="1" x14ac:dyDescent="0.35">
      <c r="A3789" s="274" t="e">
        <f>MATCH(B3789,STUDIES!$A$3:$A$502,0)</f>
        <v>#N/A</v>
      </c>
    </row>
    <row r="3790" spans="1:1" ht="18" customHeight="1" x14ac:dyDescent="0.35">
      <c r="A3790" s="274" t="e">
        <f>MATCH(B3790,STUDIES!$A$3:$A$502,0)</f>
        <v>#N/A</v>
      </c>
    </row>
    <row r="3791" spans="1:1" ht="18" customHeight="1" x14ac:dyDescent="0.35">
      <c r="A3791" s="274" t="e">
        <f>MATCH(B3791,STUDIES!$A$3:$A$502,0)</f>
        <v>#N/A</v>
      </c>
    </row>
    <row r="3792" spans="1:1" ht="18" customHeight="1" x14ac:dyDescent="0.35">
      <c r="A3792" s="274" t="e">
        <f>MATCH(B3792,STUDIES!$A$3:$A$502,0)</f>
        <v>#N/A</v>
      </c>
    </row>
    <row r="3793" spans="1:1" ht="18" customHeight="1" x14ac:dyDescent="0.35">
      <c r="A3793" s="274" t="e">
        <f>MATCH(B3793,STUDIES!$A$3:$A$502,0)</f>
        <v>#N/A</v>
      </c>
    </row>
    <row r="3794" spans="1:1" ht="18" customHeight="1" x14ac:dyDescent="0.35">
      <c r="A3794" s="274" t="e">
        <f>MATCH(B3794,STUDIES!$A$3:$A$502,0)</f>
        <v>#N/A</v>
      </c>
    </row>
    <row r="3795" spans="1:1" ht="18" customHeight="1" x14ac:dyDescent="0.35">
      <c r="A3795" s="274" t="e">
        <f>MATCH(B3795,STUDIES!$A$3:$A$502,0)</f>
        <v>#N/A</v>
      </c>
    </row>
    <row r="3796" spans="1:1" ht="18" customHeight="1" x14ac:dyDescent="0.35">
      <c r="A3796" s="274" t="e">
        <f>MATCH(B3796,STUDIES!$A$3:$A$502,0)</f>
        <v>#N/A</v>
      </c>
    </row>
    <row r="3797" spans="1:1" ht="18" customHeight="1" x14ac:dyDescent="0.35">
      <c r="A3797" s="274" t="e">
        <f>MATCH(B3797,STUDIES!$A$3:$A$502,0)</f>
        <v>#N/A</v>
      </c>
    </row>
    <row r="3798" spans="1:1" ht="18" customHeight="1" x14ac:dyDescent="0.35">
      <c r="A3798" s="274" t="e">
        <f>MATCH(B3798,STUDIES!$A$3:$A$502,0)</f>
        <v>#N/A</v>
      </c>
    </row>
    <row r="3799" spans="1:1" ht="18" customHeight="1" x14ac:dyDescent="0.35">
      <c r="A3799" s="274" t="e">
        <f>MATCH(B3799,STUDIES!$A$3:$A$502,0)</f>
        <v>#N/A</v>
      </c>
    </row>
    <row r="3800" spans="1:1" ht="18" customHeight="1" x14ac:dyDescent="0.35">
      <c r="A3800" s="274" t="e">
        <f>MATCH(B3800,STUDIES!$A$3:$A$502,0)</f>
        <v>#N/A</v>
      </c>
    </row>
    <row r="3801" spans="1:1" ht="18" customHeight="1" x14ac:dyDescent="0.35">
      <c r="A3801" s="274" t="e">
        <f>MATCH(B3801,STUDIES!$A$3:$A$502,0)</f>
        <v>#N/A</v>
      </c>
    </row>
    <row r="3802" spans="1:1" ht="18" customHeight="1" x14ac:dyDescent="0.35">
      <c r="A3802" s="274" t="e">
        <f>MATCH(B3802,STUDIES!$A$3:$A$502,0)</f>
        <v>#N/A</v>
      </c>
    </row>
    <row r="3803" spans="1:1" ht="18" customHeight="1" x14ac:dyDescent="0.35">
      <c r="A3803" s="274" t="e">
        <f>MATCH(B3803,STUDIES!$A$3:$A$502,0)</f>
        <v>#N/A</v>
      </c>
    </row>
    <row r="3804" spans="1:1" ht="18" customHeight="1" x14ac:dyDescent="0.35">
      <c r="A3804" s="274" t="e">
        <f>MATCH(B3804,STUDIES!$A$3:$A$502,0)</f>
        <v>#N/A</v>
      </c>
    </row>
    <row r="3805" spans="1:1" ht="18" customHeight="1" x14ac:dyDescent="0.35">
      <c r="A3805" s="274" t="e">
        <f>MATCH(B3805,STUDIES!$A$3:$A$502,0)</f>
        <v>#N/A</v>
      </c>
    </row>
    <row r="3806" spans="1:1" ht="18" customHeight="1" x14ac:dyDescent="0.35">
      <c r="A3806" s="274" t="e">
        <f>MATCH(B3806,STUDIES!$A$3:$A$502,0)</f>
        <v>#N/A</v>
      </c>
    </row>
    <row r="3807" spans="1:1" ht="18" customHeight="1" x14ac:dyDescent="0.35">
      <c r="A3807" s="274" t="e">
        <f>MATCH(B3807,STUDIES!$A$3:$A$502,0)</f>
        <v>#N/A</v>
      </c>
    </row>
    <row r="3808" spans="1:1" ht="18" customHeight="1" x14ac:dyDescent="0.35">
      <c r="A3808" s="274" t="e">
        <f>MATCH(B3808,STUDIES!$A$3:$A$502,0)</f>
        <v>#N/A</v>
      </c>
    </row>
    <row r="3809" spans="1:1" ht="18" customHeight="1" x14ac:dyDescent="0.35">
      <c r="A3809" s="274" t="e">
        <f>MATCH(B3809,STUDIES!$A$3:$A$502,0)</f>
        <v>#N/A</v>
      </c>
    </row>
    <row r="3810" spans="1:1" ht="18" customHeight="1" x14ac:dyDescent="0.35">
      <c r="A3810" s="274" t="e">
        <f>MATCH(B3810,STUDIES!$A$3:$A$502,0)</f>
        <v>#N/A</v>
      </c>
    </row>
    <row r="3811" spans="1:1" ht="18" customHeight="1" x14ac:dyDescent="0.35">
      <c r="A3811" s="274" t="e">
        <f>MATCH(B3811,STUDIES!$A$3:$A$502,0)</f>
        <v>#N/A</v>
      </c>
    </row>
    <row r="3812" spans="1:1" ht="18" customHeight="1" x14ac:dyDescent="0.35">
      <c r="A3812" s="274" t="e">
        <f>MATCH(B3812,STUDIES!$A$3:$A$502,0)</f>
        <v>#N/A</v>
      </c>
    </row>
    <row r="3813" spans="1:1" ht="18" customHeight="1" x14ac:dyDescent="0.35">
      <c r="A3813" s="274" t="e">
        <f>MATCH(B3813,STUDIES!$A$3:$A$502,0)</f>
        <v>#N/A</v>
      </c>
    </row>
    <row r="3814" spans="1:1" ht="18" customHeight="1" x14ac:dyDescent="0.35">
      <c r="A3814" s="274" t="e">
        <f>MATCH(B3814,STUDIES!$A$3:$A$502,0)</f>
        <v>#N/A</v>
      </c>
    </row>
    <row r="3815" spans="1:1" ht="18" customHeight="1" x14ac:dyDescent="0.35">
      <c r="A3815" s="274" t="e">
        <f>MATCH(B3815,STUDIES!$A$3:$A$502,0)</f>
        <v>#N/A</v>
      </c>
    </row>
    <row r="3816" spans="1:1" ht="18" customHeight="1" x14ac:dyDescent="0.35">
      <c r="A3816" s="274" t="e">
        <f>MATCH(B3816,STUDIES!$A$3:$A$502,0)</f>
        <v>#N/A</v>
      </c>
    </row>
    <row r="3817" spans="1:1" ht="18" customHeight="1" x14ac:dyDescent="0.35">
      <c r="A3817" s="274" t="e">
        <f>MATCH(B3817,STUDIES!$A$3:$A$502,0)</f>
        <v>#N/A</v>
      </c>
    </row>
    <row r="3818" spans="1:1" ht="18" customHeight="1" x14ac:dyDescent="0.35">
      <c r="A3818" s="274" t="e">
        <f>MATCH(B3818,STUDIES!$A$3:$A$502,0)</f>
        <v>#N/A</v>
      </c>
    </row>
    <row r="3819" spans="1:1" ht="18" customHeight="1" x14ac:dyDescent="0.35">
      <c r="A3819" s="274" t="e">
        <f>MATCH(B3819,STUDIES!$A$3:$A$502,0)</f>
        <v>#N/A</v>
      </c>
    </row>
    <row r="3820" spans="1:1" ht="18" customHeight="1" x14ac:dyDescent="0.35">
      <c r="A3820" s="274" t="e">
        <f>MATCH(B3820,STUDIES!$A$3:$A$502,0)</f>
        <v>#N/A</v>
      </c>
    </row>
    <row r="3821" spans="1:1" ht="18" customHeight="1" x14ac:dyDescent="0.35">
      <c r="A3821" s="274" t="e">
        <f>MATCH(B3821,STUDIES!$A$3:$A$502,0)</f>
        <v>#N/A</v>
      </c>
    </row>
    <row r="3822" spans="1:1" ht="18" customHeight="1" x14ac:dyDescent="0.35">
      <c r="A3822" s="274" t="e">
        <f>MATCH(B3822,STUDIES!$A$3:$A$502,0)</f>
        <v>#N/A</v>
      </c>
    </row>
    <row r="3823" spans="1:1" ht="18" customHeight="1" x14ac:dyDescent="0.35">
      <c r="A3823" s="274" t="e">
        <f>MATCH(B3823,STUDIES!$A$3:$A$502,0)</f>
        <v>#N/A</v>
      </c>
    </row>
    <row r="3824" spans="1:1" ht="18" customHeight="1" x14ac:dyDescent="0.35">
      <c r="A3824" s="274" t="e">
        <f>MATCH(B3824,STUDIES!$A$3:$A$502,0)</f>
        <v>#N/A</v>
      </c>
    </row>
    <row r="3825" spans="1:1" ht="18" customHeight="1" x14ac:dyDescent="0.35">
      <c r="A3825" s="274" t="e">
        <f>MATCH(B3825,STUDIES!$A$3:$A$502,0)</f>
        <v>#N/A</v>
      </c>
    </row>
    <row r="3826" spans="1:1" ht="18" customHeight="1" x14ac:dyDescent="0.35">
      <c r="A3826" s="274" t="e">
        <f>MATCH(B3826,STUDIES!$A$3:$A$502,0)</f>
        <v>#N/A</v>
      </c>
    </row>
    <row r="3827" spans="1:1" ht="18" customHeight="1" x14ac:dyDescent="0.35">
      <c r="A3827" s="274" t="e">
        <f>MATCH(B3827,STUDIES!$A$3:$A$502,0)</f>
        <v>#N/A</v>
      </c>
    </row>
    <row r="3828" spans="1:1" ht="18" customHeight="1" x14ac:dyDescent="0.35">
      <c r="A3828" s="274" t="e">
        <f>MATCH(B3828,STUDIES!$A$3:$A$502,0)</f>
        <v>#N/A</v>
      </c>
    </row>
    <row r="3829" spans="1:1" ht="18" customHeight="1" x14ac:dyDescent="0.35">
      <c r="A3829" s="274" t="e">
        <f>MATCH(B3829,STUDIES!$A$3:$A$502,0)</f>
        <v>#N/A</v>
      </c>
    </row>
    <row r="3830" spans="1:1" ht="18" customHeight="1" x14ac:dyDescent="0.35">
      <c r="A3830" s="274" t="e">
        <f>MATCH(B3830,STUDIES!$A$3:$A$502,0)</f>
        <v>#N/A</v>
      </c>
    </row>
    <row r="3831" spans="1:1" ht="18" customHeight="1" x14ac:dyDescent="0.35">
      <c r="A3831" s="274" t="e">
        <f>MATCH(B3831,STUDIES!$A$3:$A$502,0)</f>
        <v>#N/A</v>
      </c>
    </row>
    <row r="3832" spans="1:1" ht="18" customHeight="1" x14ac:dyDescent="0.35">
      <c r="A3832" s="274" t="e">
        <f>MATCH(B3832,STUDIES!$A$3:$A$502,0)</f>
        <v>#N/A</v>
      </c>
    </row>
    <row r="3833" spans="1:1" ht="18" customHeight="1" x14ac:dyDescent="0.35">
      <c r="A3833" s="274" t="e">
        <f>MATCH(B3833,STUDIES!$A$3:$A$502,0)</f>
        <v>#N/A</v>
      </c>
    </row>
    <row r="3834" spans="1:1" ht="18" customHeight="1" x14ac:dyDescent="0.35">
      <c r="A3834" s="274" t="e">
        <f>MATCH(B3834,STUDIES!$A$3:$A$502,0)</f>
        <v>#N/A</v>
      </c>
    </row>
    <row r="3835" spans="1:1" ht="18" customHeight="1" x14ac:dyDescent="0.35">
      <c r="A3835" s="274" t="e">
        <f>MATCH(B3835,STUDIES!$A$3:$A$502,0)</f>
        <v>#N/A</v>
      </c>
    </row>
    <row r="3836" spans="1:1" ht="18" customHeight="1" x14ac:dyDescent="0.35">
      <c r="A3836" s="274" t="e">
        <f>MATCH(B3836,STUDIES!$A$3:$A$502,0)</f>
        <v>#N/A</v>
      </c>
    </row>
    <row r="3837" spans="1:1" ht="18" customHeight="1" x14ac:dyDescent="0.35">
      <c r="A3837" s="274" t="e">
        <f>MATCH(B3837,STUDIES!$A$3:$A$502,0)</f>
        <v>#N/A</v>
      </c>
    </row>
    <row r="3838" spans="1:1" ht="18" customHeight="1" x14ac:dyDescent="0.35">
      <c r="A3838" s="274" t="e">
        <f>MATCH(B3838,STUDIES!$A$3:$A$502,0)</f>
        <v>#N/A</v>
      </c>
    </row>
    <row r="3839" spans="1:1" ht="18" customHeight="1" x14ac:dyDescent="0.35">
      <c r="A3839" s="274" t="e">
        <f>MATCH(B3839,STUDIES!$A$3:$A$502,0)</f>
        <v>#N/A</v>
      </c>
    </row>
    <row r="3840" spans="1:1" ht="18" customHeight="1" x14ac:dyDescent="0.35">
      <c r="A3840" s="274" t="e">
        <f>MATCH(B3840,STUDIES!$A$3:$A$502,0)</f>
        <v>#N/A</v>
      </c>
    </row>
    <row r="3841" spans="1:1" ht="18" customHeight="1" x14ac:dyDescent="0.35">
      <c r="A3841" s="274" t="e">
        <f>MATCH(B3841,STUDIES!$A$3:$A$502,0)</f>
        <v>#N/A</v>
      </c>
    </row>
    <row r="3842" spans="1:1" ht="18" customHeight="1" x14ac:dyDescent="0.35">
      <c r="A3842" s="274" t="e">
        <f>MATCH(B3842,STUDIES!$A$3:$A$502,0)</f>
        <v>#N/A</v>
      </c>
    </row>
    <row r="3843" spans="1:1" ht="18" customHeight="1" x14ac:dyDescent="0.35">
      <c r="A3843" s="274" t="e">
        <f>MATCH(B3843,STUDIES!$A$3:$A$502,0)</f>
        <v>#N/A</v>
      </c>
    </row>
    <row r="3844" spans="1:1" ht="18" customHeight="1" x14ac:dyDescent="0.35">
      <c r="A3844" s="274" t="e">
        <f>MATCH(B3844,STUDIES!$A$3:$A$502,0)</f>
        <v>#N/A</v>
      </c>
    </row>
    <row r="3845" spans="1:1" ht="18" customHeight="1" x14ac:dyDescent="0.35">
      <c r="A3845" s="274" t="e">
        <f>MATCH(B3845,STUDIES!$A$3:$A$502,0)</f>
        <v>#N/A</v>
      </c>
    </row>
    <row r="3846" spans="1:1" ht="18" customHeight="1" x14ac:dyDescent="0.35">
      <c r="A3846" s="274" t="e">
        <f>MATCH(B3846,STUDIES!$A$3:$A$502,0)</f>
        <v>#N/A</v>
      </c>
    </row>
    <row r="3847" spans="1:1" ht="18" customHeight="1" x14ac:dyDescent="0.35">
      <c r="A3847" s="274" t="e">
        <f>MATCH(B3847,STUDIES!$A$3:$A$502,0)</f>
        <v>#N/A</v>
      </c>
    </row>
    <row r="3848" spans="1:1" ht="18" customHeight="1" x14ac:dyDescent="0.35">
      <c r="A3848" s="274" t="e">
        <f>MATCH(B3848,STUDIES!$A$3:$A$502,0)</f>
        <v>#N/A</v>
      </c>
    </row>
    <row r="3849" spans="1:1" ht="18" customHeight="1" x14ac:dyDescent="0.35">
      <c r="A3849" s="274" t="e">
        <f>MATCH(B3849,STUDIES!$A$3:$A$502,0)</f>
        <v>#N/A</v>
      </c>
    </row>
    <row r="3850" spans="1:1" ht="18" customHeight="1" x14ac:dyDescent="0.35">
      <c r="A3850" s="274" t="e">
        <f>MATCH(B3850,STUDIES!$A$3:$A$502,0)</f>
        <v>#N/A</v>
      </c>
    </row>
    <row r="3851" spans="1:1" ht="18" customHeight="1" x14ac:dyDescent="0.35">
      <c r="A3851" s="274" t="e">
        <f>MATCH(B3851,STUDIES!$A$3:$A$502,0)</f>
        <v>#N/A</v>
      </c>
    </row>
    <row r="3852" spans="1:1" ht="18" customHeight="1" x14ac:dyDescent="0.35">
      <c r="A3852" s="274" t="e">
        <f>MATCH(B3852,STUDIES!$A$3:$A$502,0)</f>
        <v>#N/A</v>
      </c>
    </row>
    <row r="3853" spans="1:1" ht="18" customHeight="1" x14ac:dyDescent="0.35">
      <c r="A3853" s="274" t="e">
        <f>MATCH(B3853,STUDIES!$A$3:$A$502,0)</f>
        <v>#N/A</v>
      </c>
    </row>
    <row r="3854" spans="1:1" ht="18" customHeight="1" x14ac:dyDescent="0.35">
      <c r="A3854" s="274" t="e">
        <f>MATCH(B3854,STUDIES!$A$3:$A$502,0)</f>
        <v>#N/A</v>
      </c>
    </row>
    <row r="3855" spans="1:1" ht="18" customHeight="1" x14ac:dyDescent="0.35">
      <c r="A3855" s="274" t="e">
        <f>MATCH(B3855,STUDIES!$A$3:$A$502,0)</f>
        <v>#N/A</v>
      </c>
    </row>
    <row r="3856" spans="1:1" ht="18" customHeight="1" x14ac:dyDescent="0.35">
      <c r="A3856" s="274" t="e">
        <f>MATCH(B3856,STUDIES!$A$3:$A$502,0)</f>
        <v>#N/A</v>
      </c>
    </row>
    <row r="3857" spans="1:1" ht="18" customHeight="1" x14ac:dyDescent="0.35">
      <c r="A3857" s="274" t="e">
        <f>MATCH(B3857,STUDIES!$A$3:$A$502,0)</f>
        <v>#N/A</v>
      </c>
    </row>
    <row r="3858" spans="1:1" ht="18" customHeight="1" x14ac:dyDescent="0.35">
      <c r="A3858" s="274" t="e">
        <f>MATCH(B3858,STUDIES!$A$3:$A$502,0)</f>
        <v>#N/A</v>
      </c>
    </row>
    <row r="3859" spans="1:1" ht="18" customHeight="1" x14ac:dyDescent="0.35">
      <c r="A3859" s="274" t="e">
        <f>MATCH(B3859,STUDIES!$A$3:$A$502,0)</f>
        <v>#N/A</v>
      </c>
    </row>
    <row r="3860" spans="1:1" ht="18" customHeight="1" x14ac:dyDescent="0.35">
      <c r="A3860" s="274" t="e">
        <f>MATCH(B3860,STUDIES!$A$3:$A$502,0)</f>
        <v>#N/A</v>
      </c>
    </row>
    <row r="3861" spans="1:1" ht="18" customHeight="1" x14ac:dyDescent="0.35">
      <c r="A3861" s="274" t="e">
        <f>MATCH(B3861,STUDIES!$A$3:$A$502,0)</f>
        <v>#N/A</v>
      </c>
    </row>
    <row r="3862" spans="1:1" ht="18" customHeight="1" x14ac:dyDescent="0.35">
      <c r="A3862" s="274" t="e">
        <f>MATCH(B3862,STUDIES!$A$3:$A$502,0)</f>
        <v>#N/A</v>
      </c>
    </row>
    <row r="3863" spans="1:1" ht="18" customHeight="1" x14ac:dyDescent="0.35">
      <c r="A3863" s="274" t="e">
        <f>MATCH(B3863,STUDIES!$A$3:$A$502,0)</f>
        <v>#N/A</v>
      </c>
    </row>
    <row r="3864" spans="1:1" ht="18" customHeight="1" x14ac:dyDescent="0.35">
      <c r="A3864" s="274" t="e">
        <f>MATCH(B3864,STUDIES!$A$3:$A$502,0)</f>
        <v>#N/A</v>
      </c>
    </row>
    <row r="3865" spans="1:1" ht="18" customHeight="1" x14ac:dyDescent="0.35">
      <c r="A3865" s="274" t="e">
        <f>MATCH(B3865,STUDIES!$A$3:$A$502,0)</f>
        <v>#N/A</v>
      </c>
    </row>
    <row r="3866" spans="1:1" ht="18" customHeight="1" x14ac:dyDescent="0.35">
      <c r="A3866" s="274" t="e">
        <f>MATCH(B3866,STUDIES!$A$3:$A$502,0)</f>
        <v>#N/A</v>
      </c>
    </row>
    <row r="3867" spans="1:1" ht="18" customHeight="1" x14ac:dyDescent="0.35">
      <c r="A3867" s="274" t="e">
        <f>MATCH(B3867,STUDIES!$A$3:$A$502,0)</f>
        <v>#N/A</v>
      </c>
    </row>
    <row r="3868" spans="1:1" ht="18" customHeight="1" x14ac:dyDescent="0.35">
      <c r="A3868" s="274" t="e">
        <f>MATCH(B3868,STUDIES!$A$3:$A$502,0)</f>
        <v>#N/A</v>
      </c>
    </row>
    <row r="3869" spans="1:1" ht="18" customHeight="1" x14ac:dyDescent="0.35">
      <c r="A3869" s="274" t="e">
        <f>MATCH(B3869,STUDIES!$A$3:$A$502,0)</f>
        <v>#N/A</v>
      </c>
    </row>
    <row r="3870" spans="1:1" ht="18" customHeight="1" x14ac:dyDescent="0.35">
      <c r="A3870" s="274" t="e">
        <f>MATCH(B3870,STUDIES!$A$3:$A$502,0)</f>
        <v>#N/A</v>
      </c>
    </row>
    <row r="3871" spans="1:1" ht="18" customHeight="1" x14ac:dyDescent="0.35">
      <c r="A3871" s="274" t="e">
        <f>MATCH(B3871,STUDIES!$A$3:$A$502,0)</f>
        <v>#N/A</v>
      </c>
    </row>
    <row r="3872" spans="1:1" ht="18" customHeight="1" x14ac:dyDescent="0.35">
      <c r="A3872" s="274" t="e">
        <f>MATCH(B3872,STUDIES!$A$3:$A$502,0)</f>
        <v>#N/A</v>
      </c>
    </row>
    <row r="3873" spans="1:1" ht="18" customHeight="1" x14ac:dyDescent="0.35">
      <c r="A3873" s="274" t="e">
        <f>MATCH(B3873,STUDIES!$A$3:$A$502,0)</f>
        <v>#N/A</v>
      </c>
    </row>
    <row r="3874" spans="1:1" ht="18" customHeight="1" x14ac:dyDescent="0.35">
      <c r="A3874" s="274" t="e">
        <f>MATCH(B3874,STUDIES!$A$3:$A$502,0)</f>
        <v>#N/A</v>
      </c>
    </row>
    <row r="3875" spans="1:1" ht="18" customHeight="1" x14ac:dyDescent="0.35">
      <c r="A3875" s="274" t="e">
        <f>MATCH(B3875,STUDIES!$A$3:$A$502,0)</f>
        <v>#N/A</v>
      </c>
    </row>
    <row r="3876" spans="1:1" ht="18" customHeight="1" x14ac:dyDescent="0.35">
      <c r="A3876" s="274" t="e">
        <f>MATCH(B3876,STUDIES!$A$3:$A$502,0)</f>
        <v>#N/A</v>
      </c>
    </row>
    <row r="3877" spans="1:1" ht="18" customHeight="1" x14ac:dyDescent="0.35">
      <c r="A3877" s="274" t="e">
        <f>MATCH(B3877,STUDIES!$A$3:$A$502,0)</f>
        <v>#N/A</v>
      </c>
    </row>
    <row r="3878" spans="1:1" ht="18" customHeight="1" x14ac:dyDescent="0.35">
      <c r="A3878" s="274" t="e">
        <f>MATCH(B3878,STUDIES!$A$3:$A$502,0)</f>
        <v>#N/A</v>
      </c>
    </row>
    <row r="3879" spans="1:1" ht="18" customHeight="1" x14ac:dyDescent="0.35">
      <c r="A3879" s="274" t="e">
        <f>MATCH(B3879,STUDIES!$A$3:$A$502,0)</f>
        <v>#N/A</v>
      </c>
    </row>
    <row r="3880" spans="1:1" ht="18" customHeight="1" x14ac:dyDescent="0.35">
      <c r="A3880" s="274" t="e">
        <f>MATCH(B3880,STUDIES!$A$3:$A$502,0)</f>
        <v>#N/A</v>
      </c>
    </row>
    <row r="3881" spans="1:1" ht="18" customHeight="1" x14ac:dyDescent="0.35">
      <c r="A3881" s="274" t="e">
        <f>MATCH(B3881,STUDIES!$A$3:$A$502,0)</f>
        <v>#N/A</v>
      </c>
    </row>
    <row r="3882" spans="1:1" ht="18" customHeight="1" x14ac:dyDescent="0.35">
      <c r="A3882" s="274" t="e">
        <f>MATCH(B3882,STUDIES!$A$3:$A$502,0)</f>
        <v>#N/A</v>
      </c>
    </row>
    <row r="3883" spans="1:1" ht="18" customHeight="1" x14ac:dyDescent="0.35">
      <c r="A3883" s="274" t="e">
        <f>MATCH(B3883,STUDIES!$A$3:$A$502,0)</f>
        <v>#N/A</v>
      </c>
    </row>
    <row r="3884" spans="1:1" ht="18" customHeight="1" x14ac:dyDescent="0.35">
      <c r="A3884" s="274" t="e">
        <f>MATCH(B3884,STUDIES!$A$3:$A$502,0)</f>
        <v>#N/A</v>
      </c>
    </row>
    <row r="3885" spans="1:1" ht="18" customHeight="1" x14ac:dyDescent="0.35">
      <c r="A3885" s="274" t="e">
        <f>MATCH(B3885,STUDIES!$A$3:$A$502,0)</f>
        <v>#N/A</v>
      </c>
    </row>
    <row r="3886" spans="1:1" ht="18" customHeight="1" x14ac:dyDescent="0.35">
      <c r="A3886" s="274" t="e">
        <f>MATCH(B3886,STUDIES!$A$3:$A$502,0)</f>
        <v>#N/A</v>
      </c>
    </row>
    <row r="3887" spans="1:1" ht="18" customHeight="1" x14ac:dyDescent="0.35">
      <c r="A3887" s="274" t="e">
        <f>MATCH(B3887,STUDIES!$A$3:$A$502,0)</f>
        <v>#N/A</v>
      </c>
    </row>
    <row r="3888" spans="1:1" ht="18" customHeight="1" x14ac:dyDescent="0.35">
      <c r="A3888" s="274" t="e">
        <f>MATCH(B3888,STUDIES!$A$3:$A$502,0)</f>
        <v>#N/A</v>
      </c>
    </row>
    <row r="3889" spans="1:1" ht="18" customHeight="1" x14ac:dyDescent="0.35">
      <c r="A3889" s="274" t="e">
        <f>MATCH(B3889,STUDIES!$A$3:$A$502,0)</f>
        <v>#N/A</v>
      </c>
    </row>
    <row r="3890" spans="1:1" ht="18" customHeight="1" x14ac:dyDescent="0.35">
      <c r="A3890" s="274" t="e">
        <f>MATCH(B3890,STUDIES!$A$3:$A$502,0)</f>
        <v>#N/A</v>
      </c>
    </row>
    <row r="3891" spans="1:1" ht="18" customHeight="1" x14ac:dyDescent="0.35">
      <c r="A3891" s="274" t="e">
        <f>MATCH(B3891,STUDIES!$A$3:$A$502,0)</f>
        <v>#N/A</v>
      </c>
    </row>
    <row r="3892" spans="1:1" ht="18" customHeight="1" x14ac:dyDescent="0.35">
      <c r="A3892" s="274" t="e">
        <f>MATCH(B3892,STUDIES!$A$3:$A$502,0)</f>
        <v>#N/A</v>
      </c>
    </row>
    <row r="3893" spans="1:1" ht="18" customHeight="1" x14ac:dyDescent="0.35">
      <c r="A3893" s="274" t="e">
        <f>MATCH(B3893,STUDIES!$A$3:$A$502,0)</f>
        <v>#N/A</v>
      </c>
    </row>
    <row r="3894" spans="1:1" ht="18" customHeight="1" x14ac:dyDescent="0.35">
      <c r="A3894" s="274" t="e">
        <f>MATCH(B3894,STUDIES!$A$3:$A$502,0)</f>
        <v>#N/A</v>
      </c>
    </row>
    <row r="3895" spans="1:1" ht="18" customHeight="1" x14ac:dyDescent="0.35">
      <c r="A3895" s="274" t="e">
        <f>MATCH(B3895,STUDIES!$A$3:$A$502,0)</f>
        <v>#N/A</v>
      </c>
    </row>
    <row r="3896" spans="1:1" ht="18" customHeight="1" x14ac:dyDescent="0.35">
      <c r="A3896" s="274" t="e">
        <f>MATCH(B3896,STUDIES!$A$3:$A$502,0)</f>
        <v>#N/A</v>
      </c>
    </row>
    <row r="3897" spans="1:1" ht="18" customHeight="1" x14ac:dyDescent="0.35">
      <c r="A3897" s="274" t="e">
        <f>MATCH(B3897,STUDIES!$A$3:$A$502,0)</f>
        <v>#N/A</v>
      </c>
    </row>
    <row r="3898" spans="1:1" ht="18" customHeight="1" x14ac:dyDescent="0.35">
      <c r="A3898" s="274" t="e">
        <f>MATCH(B3898,STUDIES!$A$3:$A$502,0)</f>
        <v>#N/A</v>
      </c>
    </row>
    <row r="3899" spans="1:1" ht="18" customHeight="1" x14ac:dyDescent="0.35">
      <c r="A3899" s="274" t="e">
        <f>MATCH(B3899,STUDIES!$A$3:$A$502,0)</f>
        <v>#N/A</v>
      </c>
    </row>
    <row r="3900" spans="1:1" ht="18" customHeight="1" x14ac:dyDescent="0.35">
      <c r="A3900" s="274" t="e">
        <f>MATCH(B3900,STUDIES!$A$3:$A$502,0)</f>
        <v>#N/A</v>
      </c>
    </row>
    <row r="3901" spans="1:1" ht="18" customHeight="1" x14ac:dyDescent="0.35">
      <c r="A3901" s="274" t="e">
        <f>MATCH(B3901,STUDIES!$A$3:$A$502,0)</f>
        <v>#N/A</v>
      </c>
    </row>
    <row r="3902" spans="1:1" ht="18" customHeight="1" x14ac:dyDescent="0.35">
      <c r="A3902" s="274" t="e">
        <f>MATCH(B3902,STUDIES!$A$3:$A$502,0)</f>
        <v>#N/A</v>
      </c>
    </row>
    <row r="3903" spans="1:1" ht="18" customHeight="1" x14ac:dyDescent="0.35">
      <c r="A3903" s="274" t="e">
        <f>MATCH(B3903,STUDIES!$A$3:$A$502,0)</f>
        <v>#N/A</v>
      </c>
    </row>
    <row r="3904" spans="1:1" ht="18" customHeight="1" x14ac:dyDescent="0.35">
      <c r="A3904" s="274" t="e">
        <f>MATCH(B3904,STUDIES!$A$3:$A$502,0)</f>
        <v>#N/A</v>
      </c>
    </row>
    <row r="3905" spans="1:1" ht="18" customHeight="1" x14ac:dyDescent="0.35">
      <c r="A3905" s="274" t="e">
        <f>MATCH(B3905,STUDIES!$A$3:$A$502,0)</f>
        <v>#N/A</v>
      </c>
    </row>
    <row r="3906" spans="1:1" ht="18" customHeight="1" x14ac:dyDescent="0.35">
      <c r="A3906" s="274" t="e">
        <f>MATCH(B3906,STUDIES!$A$3:$A$502,0)</f>
        <v>#N/A</v>
      </c>
    </row>
    <row r="3907" spans="1:1" ht="18" customHeight="1" x14ac:dyDescent="0.35">
      <c r="A3907" s="274" t="e">
        <f>MATCH(B3907,STUDIES!$A$3:$A$502,0)</f>
        <v>#N/A</v>
      </c>
    </row>
    <row r="3908" spans="1:1" ht="18" customHeight="1" x14ac:dyDescent="0.35">
      <c r="A3908" s="274" t="e">
        <f>MATCH(B3908,STUDIES!$A$3:$A$502,0)</f>
        <v>#N/A</v>
      </c>
    </row>
    <row r="3909" spans="1:1" ht="18" customHeight="1" x14ac:dyDescent="0.35">
      <c r="A3909" s="274" t="e">
        <f>MATCH(B3909,STUDIES!$A$3:$A$502,0)</f>
        <v>#N/A</v>
      </c>
    </row>
    <row r="3910" spans="1:1" ht="18" customHeight="1" x14ac:dyDescent="0.35">
      <c r="A3910" s="274" t="e">
        <f>MATCH(B3910,STUDIES!$A$3:$A$502,0)</f>
        <v>#N/A</v>
      </c>
    </row>
    <row r="3911" spans="1:1" ht="18" customHeight="1" x14ac:dyDescent="0.35">
      <c r="A3911" s="274" t="e">
        <f>MATCH(B3911,STUDIES!$A$3:$A$502,0)</f>
        <v>#N/A</v>
      </c>
    </row>
    <row r="3912" spans="1:1" ht="18" customHeight="1" x14ac:dyDescent="0.35">
      <c r="A3912" s="274" t="e">
        <f>MATCH(B3912,STUDIES!$A$3:$A$502,0)</f>
        <v>#N/A</v>
      </c>
    </row>
    <row r="3913" spans="1:1" ht="18" customHeight="1" x14ac:dyDescent="0.35">
      <c r="A3913" s="274" t="e">
        <f>MATCH(B3913,STUDIES!$A$3:$A$502,0)</f>
        <v>#N/A</v>
      </c>
    </row>
    <row r="3914" spans="1:1" ht="18" customHeight="1" x14ac:dyDescent="0.35">
      <c r="A3914" s="274" t="e">
        <f>MATCH(B3914,STUDIES!$A$3:$A$502,0)</f>
        <v>#N/A</v>
      </c>
    </row>
    <row r="3915" spans="1:1" ht="18" customHeight="1" x14ac:dyDescent="0.35">
      <c r="A3915" s="274" t="e">
        <f>MATCH(B3915,STUDIES!$A$3:$A$502,0)</f>
        <v>#N/A</v>
      </c>
    </row>
    <row r="3916" spans="1:1" ht="18" customHeight="1" x14ac:dyDescent="0.35">
      <c r="A3916" s="274" t="e">
        <f>MATCH(B3916,STUDIES!$A$3:$A$502,0)</f>
        <v>#N/A</v>
      </c>
    </row>
    <row r="3917" spans="1:1" ht="18" customHeight="1" x14ac:dyDescent="0.35">
      <c r="A3917" s="274" t="e">
        <f>MATCH(B3917,STUDIES!$A$3:$A$502,0)</f>
        <v>#N/A</v>
      </c>
    </row>
    <row r="3918" spans="1:1" ht="18" customHeight="1" x14ac:dyDescent="0.35">
      <c r="A3918" s="274" t="e">
        <f>MATCH(B3918,STUDIES!$A$3:$A$502,0)</f>
        <v>#N/A</v>
      </c>
    </row>
    <row r="3919" spans="1:1" ht="18" customHeight="1" x14ac:dyDescent="0.35">
      <c r="A3919" s="274" t="e">
        <f>MATCH(B3919,STUDIES!$A$3:$A$502,0)</f>
        <v>#N/A</v>
      </c>
    </row>
    <row r="3920" spans="1:1" ht="18" customHeight="1" x14ac:dyDescent="0.35">
      <c r="A3920" s="274" t="e">
        <f>MATCH(B3920,STUDIES!$A$3:$A$502,0)</f>
        <v>#N/A</v>
      </c>
    </row>
    <row r="3921" spans="1:1" ht="18" customHeight="1" x14ac:dyDescent="0.35">
      <c r="A3921" s="274" t="e">
        <f>MATCH(B3921,STUDIES!$A$3:$A$502,0)</f>
        <v>#N/A</v>
      </c>
    </row>
    <row r="3922" spans="1:1" ht="18" customHeight="1" x14ac:dyDescent="0.35">
      <c r="A3922" s="274" t="e">
        <f>MATCH(B3922,STUDIES!$A$3:$A$502,0)</f>
        <v>#N/A</v>
      </c>
    </row>
    <row r="3923" spans="1:1" ht="18" customHeight="1" x14ac:dyDescent="0.35">
      <c r="A3923" s="274" t="e">
        <f>MATCH(B3923,STUDIES!$A$3:$A$502,0)</f>
        <v>#N/A</v>
      </c>
    </row>
    <row r="3924" spans="1:1" ht="18" customHeight="1" x14ac:dyDescent="0.35">
      <c r="A3924" s="274" t="e">
        <f>MATCH(B3924,STUDIES!$A$3:$A$502,0)</f>
        <v>#N/A</v>
      </c>
    </row>
    <row r="3925" spans="1:1" ht="18" customHeight="1" x14ac:dyDescent="0.35">
      <c r="A3925" s="274" t="e">
        <f>MATCH(B3925,STUDIES!$A$3:$A$502,0)</f>
        <v>#N/A</v>
      </c>
    </row>
    <row r="3926" spans="1:1" ht="18" customHeight="1" x14ac:dyDescent="0.35">
      <c r="A3926" s="274" t="e">
        <f>MATCH(B3926,STUDIES!$A$3:$A$502,0)</f>
        <v>#N/A</v>
      </c>
    </row>
    <row r="3927" spans="1:1" ht="18" customHeight="1" x14ac:dyDescent="0.35">
      <c r="A3927" s="274" t="e">
        <f>MATCH(B3927,STUDIES!$A$3:$A$502,0)</f>
        <v>#N/A</v>
      </c>
    </row>
    <row r="3928" spans="1:1" ht="18" customHeight="1" x14ac:dyDescent="0.35">
      <c r="A3928" s="274" t="e">
        <f>MATCH(B3928,STUDIES!$A$3:$A$502,0)</f>
        <v>#N/A</v>
      </c>
    </row>
    <row r="3929" spans="1:1" ht="18" customHeight="1" x14ac:dyDescent="0.35">
      <c r="A3929" s="274" t="e">
        <f>MATCH(B3929,STUDIES!$A$3:$A$502,0)</f>
        <v>#N/A</v>
      </c>
    </row>
    <row r="3930" spans="1:1" ht="18" customHeight="1" x14ac:dyDescent="0.35">
      <c r="A3930" s="274" t="e">
        <f>MATCH(B3930,STUDIES!$A$3:$A$502,0)</f>
        <v>#N/A</v>
      </c>
    </row>
    <row r="3931" spans="1:1" ht="18" customHeight="1" x14ac:dyDescent="0.35">
      <c r="A3931" s="274" t="e">
        <f>MATCH(B3931,STUDIES!$A$3:$A$502,0)</f>
        <v>#N/A</v>
      </c>
    </row>
    <row r="3932" spans="1:1" ht="18" customHeight="1" x14ac:dyDescent="0.35">
      <c r="A3932" s="274" t="e">
        <f>MATCH(B3932,STUDIES!$A$3:$A$502,0)</f>
        <v>#N/A</v>
      </c>
    </row>
    <row r="3933" spans="1:1" ht="18" customHeight="1" x14ac:dyDescent="0.35">
      <c r="A3933" s="274" t="e">
        <f>MATCH(B3933,STUDIES!$A$3:$A$502,0)</f>
        <v>#N/A</v>
      </c>
    </row>
    <row r="3934" spans="1:1" ht="18" customHeight="1" x14ac:dyDescent="0.35">
      <c r="A3934" s="274" t="e">
        <f>MATCH(B3934,STUDIES!$A$3:$A$502,0)</f>
        <v>#N/A</v>
      </c>
    </row>
    <row r="3935" spans="1:1" ht="18" customHeight="1" x14ac:dyDescent="0.35">
      <c r="A3935" s="274" t="e">
        <f>MATCH(B3935,STUDIES!$A$3:$A$502,0)</f>
        <v>#N/A</v>
      </c>
    </row>
    <row r="3936" spans="1:1" ht="18" customHeight="1" x14ac:dyDescent="0.35">
      <c r="A3936" s="274" t="e">
        <f>MATCH(B3936,STUDIES!$A$3:$A$502,0)</f>
        <v>#N/A</v>
      </c>
    </row>
    <row r="3937" spans="1:1" ht="18" customHeight="1" x14ac:dyDescent="0.35">
      <c r="A3937" s="274" t="e">
        <f>MATCH(B3937,STUDIES!$A$3:$A$502,0)</f>
        <v>#N/A</v>
      </c>
    </row>
    <row r="3938" spans="1:1" ht="18" customHeight="1" x14ac:dyDescent="0.35">
      <c r="A3938" s="274" t="e">
        <f>MATCH(B3938,STUDIES!$A$3:$A$502,0)</f>
        <v>#N/A</v>
      </c>
    </row>
    <row r="3939" spans="1:1" ht="18" customHeight="1" x14ac:dyDescent="0.35">
      <c r="A3939" s="274" t="e">
        <f>MATCH(B3939,STUDIES!$A$3:$A$502,0)</f>
        <v>#N/A</v>
      </c>
    </row>
    <row r="3940" spans="1:1" ht="18" customHeight="1" x14ac:dyDescent="0.35">
      <c r="A3940" s="274" t="e">
        <f>MATCH(B3940,STUDIES!$A$3:$A$502,0)</f>
        <v>#N/A</v>
      </c>
    </row>
    <row r="3941" spans="1:1" ht="18" customHeight="1" x14ac:dyDescent="0.35">
      <c r="A3941" s="274" t="e">
        <f>MATCH(B3941,STUDIES!$A$3:$A$502,0)</f>
        <v>#N/A</v>
      </c>
    </row>
    <row r="3942" spans="1:1" ht="18" customHeight="1" x14ac:dyDescent="0.35">
      <c r="A3942" s="274" t="e">
        <f>MATCH(B3942,STUDIES!$A$3:$A$502,0)</f>
        <v>#N/A</v>
      </c>
    </row>
    <row r="3943" spans="1:1" ht="18" customHeight="1" x14ac:dyDescent="0.35">
      <c r="A3943" s="274" t="e">
        <f>MATCH(B3943,STUDIES!$A$3:$A$502,0)</f>
        <v>#N/A</v>
      </c>
    </row>
    <row r="3944" spans="1:1" ht="18" customHeight="1" x14ac:dyDescent="0.35">
      <c r="A3944" s="274" t="e">
        <f>MATCH(B3944,STUDIES!$A$3:$A$502,0)</f>
        <v>#N/A</v>
      </c>
    </row>
    <row r="3945" spans="1:1" ht="18" customHeight="1" x14ac:dyDescent="0.35">
      <c r="A3945" s="274" t="e">
        <f>MATCH(B3945,STUDIES!$A$3:$A$502,0)</f>
        <v>#N/A</v>
      </c>
    </row>
    <row r="3946" spans="1:1" ht="18" customHeight="1" x14ac:dyDescent="0.35">
      <c r="A3946" s="274" t="e">
        <f>MATCH(B3946,STUDIES!$A$3:$A$502,0)</f>
        <v>#N/A</v>
      </c>
    </row>
    <row r="3947" spans="1:1" ht="18" customHeight="1" x14ac:dyDescent="0.35">
      <c r="A3947" s="274" t="e">
        <f>MATCH(B3947,STUDIES!$A$3:$A$502,0)</f>
        <v>#N/A</v>
      </c>
    </row>
    <row r="3948" spans="1:1" ht="18" customHeight="1" x14ac:dyDescent="0.35">
      <c r="A3948" s="274" t="e">
        <f>MATCH(B3948,STUDIES!$A$3:$A$502,0)</f>
        <v>#N/A</v>
      </c>
    </row>
    <row r="3949" spans="1:1" ht="18" customHeight="1" x14ac:dyDescent="0.35">
      <c r="A3949" s="274" t="e">
        <f>MATCH(B3949,STUDIES!$A$3:$A$502,0)</f>
        <v>#N/A</v>
      </c>
    </row>
    <row r="3950" spans="1:1" ht="18" customHeight="1" x14ac:dyDescent="0.35">
      <c r="A3950" s="274" t="e">
        <f>MATCH(B3950,STUDIES!$A$3:$A$502,0)</f>
        <v>#N/A</v>
      </c>
    </row>
    <row r="3951" spans="1:1" ht="18" customHeight="1" x14ac:dyDescent="0.35">
      <c r="A3951" s="274" t="e">
        <f>MATCH(B3951,STUDIES!$A$3:$A$502,0)</f>
        <v>#N/A</v>
      </c>
    </row>
    <row r="3952" spans="1:1" ht="18" customHeight="1" x14ac:dyDescent="0.35">
      <c r="A3952" s="274" t="e">
        <f>MATCH(B3952,STUDIES!$A$3:$A$502,0)</f>
        <v>#N/A</v>
      </c>
    </row>
    <row r="3953" spans="1:1" ht="18" customHeight="1" x14ac:dyDescent="0.35">
      <c r="A3953" s="274" t="e">
        <f>MATCH(B3953,STUDIES!$A$3:$A$502,0)</f>
        <v>#N/A</v>
      </c>
    </row>
    <row r="3954" spans="1:1" ht="18" customHeight="1" x14ac:dyDescent="0.35">
      <c r="A3954" s="274" t="e">
        <f>MATCH(B3954,STUDIES!$A$3:$A$502,0)</f>
        <v>#N/A</v>
      </c>
    </row>
    <row r="3955" spans="1:1" ht="18" customHeight="1" x14ac:dyDescent="0.35">
      <c r="A3955" s="274" t="e">
        <f>MATCH(B3955,STUDIES!$A$3:$A$502,0)</f>
        <v>#N/A</v>
      </c>
    </row>
    <row r="3956" spans="1:1" ht="18" customHeight="1" x14ac:dyDescent="0.35">
      <c r="A3956" s="274" t="e">
        <f>MATCH(B3956,STUDIES!$A$3:$A$502,0)</f>
        <v>#N/A</v>
      </c>
    </row>
    <row r="3957" spans="1:1" ht="18" customHeight="1" x14ac:dyDescent="0.35">
      <c r="A3957" s="274" t="e">
        <f>MATCH(B3957,STUDIES!$A$3:$A$502,0)</f>
        <v>#N/A</v>
      </c>
    </row>
    <row r="3958" spans="1:1" ht="18" customHeight="1" x14ac:dyDescent="0.35">
      <c r="A3958" s="274" t="e">
        <f>MATCH(B3958,STUDIES!$A$3:$A$502,0)</f>
        <v>#N/A</v>
      </c>
    </row>
    <row r="3959" spans="1:1" ht="18" customHeight="1" x14ac:dyDescent="0.35">
      <c r="A3959" s="274" t="e">
        <f>MATCH(B3959,STUDIES!$A$3:$A$502,0)</f>
        <v>#N/A</v>
      </c>
    </row>
    <row r="3960" spans="1:1" ht="18" customHeight="1" x14ac:dyDescent="0.35">
      <c r="A3960" s="274" t="e">
        <f>MATCH(B3960,STUDIES!$A$3:$A$502,0)</f>
        <v>#N/A</v>
      </c>
    </row>
    <row r="3961" spans="1:1" ht="18" customHeight="1" x14ac:dyDescent="0.35">
      <c r="A3961" s="274" t="e">
        <f>MATCH(B3961,STUDIES!$A$3:$A$502,0)</f>
        <v>#N/A</v>
      </c>
    </row>
    <row r="3962" spans="1:1" ht="18" customHeight="1" x14ac:dyDescent="0.35">
      <c r="A3962" s="274" t="e">
        <f>MATCH(B3962,STUDIES!$A$3:$A$502,0)</f>
        <v>#N/A</v>
      </c>
    </row>
    <row r="3963" spans="1:1" ht="18" customHeight="1" x14ac:dyDescent="0.35">
      <c r="A3963" s="274" t="e">
        <f>MATCH(B3963,STUDIES!$A$3:$A$502,0)</f>
        <v>#N/A</v>
      </c>
    </row>
    <row r="3964" spans="1:1" ht="18" customHeight="1" x14ac:dyDescent="0.35">
      <c r="A3964" s="274" t="e">
        <f>MATCH(B3964,STUDIES!$A$3:$A$502,0)</f>
        <v>#N/A</v>
      </c>
    </row>
    <row r="3965" spans="1:1" ht="18" customHeight="1" x14ac:dyDescent="0.35">
      <c r="A3965" s="274" t="e">
        <f>MATCH(B3965,STUDIES!$A$3:$A$502,0)</f>
        <v>#N/A</v>
      </c>
    </row>
    <row r="3966" spans="1:1" ht="18" customHeight="1" x14ac:dyDescent="0.35">
      <c r="A3966" s="274" t="e">
        <f>MATCH(B3966,STUDIES!$A$3:$A$502,0)</f>
        <v>#N/A</v>
      </c>
    </row>
    <row r="3967" spans="1:1" ht="18" customHeight="1" x14ac:dyDescent="0.35">
      <c r="A3967" s="274" t="e">
        <f>MATCH(B3967,STUDIES!$A$3:$A$502,0)</f>
        <v>#N/A</v>
      </c>
    </row>
    <row r="3968" spans="1:1" ht="18" customHeight="1" x14ac:dyDescent="0.35">
      <c r="A3968" s="274" t="e">
        <f>MATCH(B3968,STUDIES!$A$3:$A$502,0)</f>
        <v>#N/A</v>
      </c>
    </row>
    <row r="3969" spans="1:1" ht="18" customHeight="1" x14ac:dyDescent="0.35">
      <c r="A3969" s="274" t="e">
        <f>MATCH(B3969,STUDIES!$A$3:$A$502,0)</f>
        <v>#N/A</v>
      </c>
    </row>
    <row r="3970" spans="1:1" ht="18" customHeight="1" x14ac:dyDescent="0.35">
      <c r="A3970" s="274" t="e">
        <f>MATCH(B3970,STUDIES!$A$3:$A$502,0)</f>
        <v>#N/A</v>
      </c>
    </row>
    <row r="3971" spans="1:1" ht="18" customHeight="1" x14ac:dyDescent="0.35">
      <c r="A3971" s="274" t="e">
        <f>MATCH(B3971,STUDIES!$A$3:$A$502,0)</f>
        <v>#N/A</v>
      </c>
    </row>
    <row r="3972" spans="1:1" ht="18" customHeight="1" x14ac:dyDescent="0.35">
      <c r="A3972" s="274" t="e">
        <f>MATCH(B3972,STUDIES!$A$3:$A$502,0)</f>
        <v>#N/A</v>
      </c>
    </row>
    <row r="3973" spans="1:1" ht="18" customHeight="1" x14ac:dyDescent="0.35">
      <c r="A3973" s="274" t="e">
        <f>MATCH(B3973,STUDIES!$A$3:$A$502,0)</f>
        <v>#N/A</v>
      </c>
    </row>
    <row r="3974" spans="1:1" ht="18" customHeight="1" x14ac:dyDescent="0.35">
      <c r="A3974" s="274" t="e">
        <f>MATCH(B3974,STUDIES!$A$3:$A$502,0)</f>
        <v>#N/A</v>
      </c>
    </row>
    <row r="3975" spans="1:1" ht="18" customHeight="1" x14ac:dyDescent="0.35">
      <c r="A3975" s="274" t="e">
        <f>MATCH(B3975,STUDIES!$A$3:$A$502,0)</f>
        <v>#N/A</v>
      </c>
    </row>
    <row r="3976" spans="1:1" ht="18" customHeight="1" x14ac:dyDescent="0.35">
      <c r="A3976" s="274" t="e">
        <f>MATCH(B3976,STUDIES!$A$3:$A$502,0)</f>
        <v>#N/A</v>
      </c>
    </row>
    <row r="3977" spans="1:1" ht="18" customHeight="1" x14ac:dyDescent="0.35">
      <c r="A3977" s="274" t="e">
        <f>MATCH(B3977,STUDIES!$A$3:$A$502,0)</f>
        <v>#N/A</v>
      </c>
    </row>
    <row r="3978" spans="1:1" ht="18" customHeight="1" x14ac:dyDescent="0.35">
      <c r="A3978" s="274" t="e">
        <f>MATCH(B3978,STUDIES!$A$3:$A$502,0)</f>
        <v>#N/A</v>
      </c>
    </row>
    <row r="3979" spans="1:1" ht="18" customHeight="1" x14ac:dyDescent="0.35">
      <c r="A3979" s="274" t="e">
        <f>MATCH(B3979,STUDIES!$A$3:$A$502,0)</f>
        <v>#N/A</v>
      </c>
    </row>
    <row r="3980" spans="1:1" ht="18" customHeight="1" x14ac:dyDescent="0.35">
      <c r="A3980" s="274" t="e">
        <f>MATCH(B3980,STUDIES!$A$3:$A$502,0)</f>
        <v>#N/A</v>
      </c>
    </row>
    <row r="3981" spans="1:1" ht="18" customHeight="1" x14ac:dyDescent="0.35">
      <c r="A3981" s="274" t="e">
        <f>MATCH(B3981,STUDIES!$A$3:$A$502,0)</f>
        <v>#N/A</v>
      </c>
    </row>
    <row r="3982" spans="1:1" ht="18" customHeight="1" x14ac:dyDescent="0.35">
      <c r="A3982" s="274" t="e">
        <f>MATCH(B3982,STUDIES!$A$3:$A$502,0)</f>
        <v>#N/A</v>
      </c>
    </row>
    <row r="3983" spans="1:1" ht="18" customHeight="1" x14ac:dyDescent="0.35">
      <c r="A3983" s="274" t="e">
        <f>MATCH(B3983,STUDIES!$A$3:$A$502,0)</f>
        <v>#N/A</v>
      </c>
    </row>
    <row r="3984" spans="1:1" ht="18" customHeight="1" x14ac:dyDescent="0.35">
      <c r="A3984" s="274" t="e">
        <f>MATCH(B3984,STUDIES!$A$3:$A$502,0)</f>
        <v>#N/A</v>
      </c>
    </row>
    <row r="3985" spans="1:1" ht="18" customHeight="1" x14ac:dyDescent="0.35">
      <c r="A3985" s="274" t="e">
        <f>MATCH(B3985,STUDIES!$A$3:$A$502,0)</f>
        <v>#N/A</v>
      </c>
    </row>
    <row r="3986" spans="1:1" ht="18" customHeight="1" x14ac:dyDescent="0.35">
      <c r="A3986" s="274" t="e">
        <f>MATCH(B3986,STUDIES!$A$3:$A$502,0)</f>
        <v>#N/A</v>
      </c>
    </row>
    <row r="3987" spans="1:1" ht="18" customHeight="1" x14ac:dyDescent="0.35">
      <c r="A3987" s="274" t="e">
        <f>MATCH(B3987,STUDIES!$A$3:$A$502,0)</f>
        <v>#N/A</v>
      </c>
    </row>
    <row r="3988" spans="1:1" ht="18" customHeight="1" x14ac:dyDescent="0.35">
      <c r="A3988" s="274" t="e">
        <f>MATCH(B3988,STUDIES!$A$3:$A$502,0)</f>
        <v>#N/A</v>
      </c>
    </row>
    <row r="3989" spans="1:1" ht="18" customHeight="1" x14ac:dyDescent="0.35">
      <c r="A3989" s="274" t="e">
        <f>MATCH(B3989,STUDIES!$A$3:$A$502,0)</f>
        <v>#N/A</v>
      </c>
    </row>
    <row r="3990" spans="1:1" ht="18" customHeight="1" x14ac:dyDescent="0.35">
      <c r="A3990" s="274" t="e">
        <f>MATCH(B3990,STUDIES!$A$3:$A$502,0)</f>
        <v>#N/A</v>
      </c>
    </row>
    <row r="3991" spans="1:1" ht="18" customHeight="1" x14ac:dyDescent="0.35">
      <c r="A3991" s="274" t="e">
        <f>MATCH(B3991,STUDIES!$A$3:$A$502,0)</f>
        <v>#N/A</v>
      </c>
    </row>
    <row r="3992" spans="1:1" ht="18" customHeight="1" x14ac:dyDescent="0.35">
      <c r="A3992" s="274" t="e">
        <f>MATCH(B3992,STUDIES!$A$3:$A$502,0)</f>
        <v>#N/A</v>
      </c>
    </row>
    <row r="3993" spans="1:1" ht="18" customHeight="1" x14ac:dyDescent="0.35">
      <c r="A3993" s="274" t="e">
        <f>MATCH(B3993,STUDIES!$A$3:$A$502,0)</f>
        <v>#N/A</v>
      </c>
    </row>
    <row r="3994" spans="1:1" ht="18" customHeight="1" x14ac:dyDescent="0.35">
      <c r="A3994" s="274" t="e">
        <f>MATCH(B3994,STUDIES!$A$3:$A$502,0)</f>
        <v>#N/A</v>
      </c>
    </row>
    <row r="3995" spans="1:1" ht="18" customHeight="1" x14ac:dyDescent="0.35">
      <c r="A3995" s="274" t="e">
        <f>MATCH(B3995,STUDIES!$A$3:$A$502,0)</f>
        <v>#N/A</v>
      </c>
    </row>
    <row r="3996" spans="1:1" ht="18" customHeight="1" x14ac:dyDescent="0.35">
      <c r="A3996" s="274" t="e">
        <f>MATCH(B3996,STUDIES!$A$3:$A$502,0)</f>
        <v>#N/A</v>
      </c>
    </row>
    <row r="3997" spans="1:1" ht="18" customHeight="1" x14ac:dyDescent="0.35">
      <c r="A3997" s="274" t="e">
        <f>MATCH(B3997,STUDIES!$A$3:$A$502,0)</f>
        <v>#N/A</v>
      </c>
    </row>
    <row r="3998" spans="1:1" ht="18" customHeight="1" x14ac:dyDescent="0.35">
      <c r="A3998" s="274" t="e">
        <f>MATCH(B3998,STUDIES!$A$3:$A$502,0)</f>
        <v>#N/A</v>
      </c>
    </row>
    <row r="3999" spans="1:1" ht="18" customHeight="1" x14ac:dyDescent="0.35">
      <c r="A3999" s="274" t="e">
        <f>MATCH(B3999,STUDIES!$A$3:$A$502,0)</f>
        <v>#N/A</v>
      </c>
    </row>
    <row r="4000" spans="1:1" ht="18" customHeight="1" x14ac:dyDescent="0.35">
      <c r="A4000" s="274" t="e">
        <f>MATCH(B4000,STUDIES!$A$3:$A$502,0)</f>
        <v>#N/A</v>
      </c>
    </row>
    <row r="4001" spans="1:4" ht="18" customHeight="1" x14ac:dyDescent="0.35">
      <c r="A4001" s="274" t="e">
        <f>MATCH(B4001,STUDIES!$A$3:$A$502,0)</f>
        <v>#N/A</v>
      </c>
    </row>
    <row r="4002" spans="1:4" ht="18" customHeight="1" x14ac:dyDescent="0.35">
      <c r="A4002" s="274" t="e">
        <f>MATCH(B4002,STUDIES!$A$3:$A$502,0)</f>
        <v>#N/A</v>
      </c>
    </row>
    <row r="4003" spans="1:4" ht="18" customHeight="1" x14ac:dyDescent="0.35">
      <c r="A4003" s="274" t="e">
        <f>MATCH(B4003,STUDIES!$A$3:$A$502,0)</f>
        <v>#N/A</v>
      </c>
    </row>
    <row r="4004" spans="1:4" ht="18" customHeight="1" x14ac:dyDescent="0.35">
      <c r="A4004" s="274" t="e">
        <f>MATCH(B4004,STUDIES!$A$3:$A$502,0)</f>
        <v>#N/A</v>
      </c>
    </row>
    <row r="4005" spans="1:4" ht="18" customHeight="1" x14ac:dyDescent="0.35">
      <c r="A4005" s="274" t="e">
        <f>MATCH(B4005,STUDIES!$A$3:$A$502,0)</f>
        <v>#N/A</v>
      </c>
    </row>
    <row r="4006" spans="1:4" ht="18" customHeight="1" x14ac:dyDescent="0.35">
      <c r="A4006" s="274" t="e">
        <f>MATCH(B4006,STUDIES!$A$3:$A$502,0)</f>
        <v>#N/A</v>
      </c>
    </row>
    <row r="4007" spans="1:4" ht="18" customHeight="1" x14ac:dyDescent="0.35">
      <c r="A4007" s="274" t="e">
        <f>MATCH(B4007,STUDIES!$A$3:$A$502,0)</f>
        <v>#N/A</v>
      </c>
    </row>
    <row r="4008" spans="1:4" ht="18" customHeight="1" x14ac:dyDescent="0.35">
      <c r="A4008" s="274" t="e">
        <f>MATCH(B4008,STUDIES!$A$3:$A$502,0)</f>
        <v>#N/A</v>
      </c>
    </row>
    <row r="4009" spans="1:4" ht="18" customHeight="1" x14ac:dyDescent="0.35">
      <c r="A4009" s="274" t="e">
        <f>MATCH(B4009,STUDIES!$A$3:$A$502,0)</f>
        <v>#N/A</v>
      </c>
    </row>
    <row r="4010" spans="1:4" ht="7.5" customHeight="1" x14ac:dyDescent="0.35">
      <c r="A4010" s="274" t="e">
        <f>MATCH(B4010,STUDIES!$A$3:$A$502,0)</f>
        <v>#N/A</v>
      </c>
    </row>
    <row r="4011" spans="1:4" ht="18" customHeight="1" x14ac:dyDescent="0.35">
      <c r="B4011" s="116"/>
      <c r="D4011"/>
    </row>
    <row r="4012" spans="1:4" ht="18" customHeight="1" x14ac:dyDescent="0.35">
      <c r="B4012" s="116"/>
      <c r="D4012" s="232"/>
    </row>
    <row r="4013" spans="1:4" ht="18" customHeight="1" x14ac:dyDescent="0.35">
      <c r="B4013" s="116"/>
      <c r="D4013" s="387"/>
    </row>
    <row r="4014" spans="1:4" ht="18" customHeight="1" x14ac:dyDescent="0.35">
      <c r="B4014" s="116"/>
      <c r="D4014" s="387"/>
    </row>
    <row r="4015" spans="1:4" ht="18" customHeight="1" x14ac:dyDescent="0.35">
      <c r="B4015" s="116"/>
      <c r="D4015" s="232"/>
    </row>
    <row r="4016" spans="1:4" ht="18" customHeight="1" x14ac:dyDescent="0.35">
      <c r="B4016" s="116"/>
      <c r="D4016"/>
    </row>
    <row r="4017" spans="2:4" ht="18" customHeight="1" x14ac:dyDescent="0.35">
      <c r="B4017" s="116"/>
      <c r="D4017" s="232"/>
    </row>
    <row r="4018" spans="2:4" ht="18" customHeight="1" x14ac:dyDescent="0.35">
      <c r="B4018" s="116"/>
      <c r="D4018" s="387"/>
    </row>
    <row r="4019" spans="2:4" ht="18" customHeight="1" x14ac:dyDescent="0.35">
      <c r="B4019" s="116"/>
      <c r="D4019" s="387"/>
    </row>
    <row r="4020" spans="2:4" ht="18" customHeight="1" x14ac:dyDescent="0.35">
      <c r="B4020" s="116"/>
      <c r="D4020" s="232"/>
    </row>
    <row r="4021" spans="2:4" ht="18" customHeight="1" x14ac:dyDescent="0.35">
      <c r="B4021" s="86"/>
      <c r="C4021" s="465"/>
      <c r="D4021" s="232"/>
    </row>
    <row r="4022" spans="2:4" ht="18" customHeight="1" x14ac:dyDescent="0.35">
      <c r="B4022" s="86"/>
      <c r="C4022" s="465"/>
      <c r="D4022" s="230"/>
    </row>
  </sheetData>
  <autoFilter ref="A1:AV4020" xr:uid="{832CF432-3C2E-BD48-91E9-F8C20D47148C}"/>
  <sortState xmlns:xlrd2="http://schemas.microsoft.com/office/spreadsheetml/2017/richdata2" ref="A2:AV4010">
    <sortCondition ref="A2:A4010"/>
    <sortCondition ref="D2:D4010"/>
    <sortCondition ref="E2:E4010"/>
  </sortState>
  <phoneticPr fontId="9" type="noConversion"/>
  <conditionalFormatting sqref="F2:F3526">
    <cfRule type="notContainsText" dxfId="0" priority="1" operator="notContains" text="A">
      <formula>ISERROR(SEARCH("A",F2))</formula>
    </cfRule>
  </conditionalFormatting>
  <dataValidations count="5">
    <dataValidation type="list" allowBlank="1" showInputMessage="1" showErrorMessage="1" prompt="Enter a study from the drop down list" sqref="B786:B933 B1024:B1041 B1189:B1698 B1827:B1844 B4023:B5010 B1735:B1752 B1853:B1864 B1871:B1957 B2:B755 B1966:B2055 B1092:B1182 B2148:B2199 B2394:B2405 B2228:B2284 B2424:B2425 B2490:B2511 B2534:B2541 B2550:B2553 B2570:B2573 B2644:B4010" xr:uid="{6D48F0CA-39D5-6445-B6BA-3408F40D3C9A}">
      <formula1>Studies</formula1>
    </dataValidation>
    <dataValidation type="list" allowBlank="1" showInputMessage="1" showErrorMessage="1" prompt="Enter one study from the drop down list" sqref="B1042:B1091 B1183:B1188 B1865:B1870 B1845:B1852 B1699:B1734 B934:B1023 B1753:B1826 B1958:B1965 B2200:B2227 B2512:B2533 B2056:B2147 B2406:B2423 B2574:B2643 B756:B785 B2554:B2569 B2285:B2393 B2542:B2549 B4011:B4022 B2426:B2489" xr:uid="{45CB2892-D108-4B7D-91D7-090401F1BDBB}">
      <formula1>Studies</formula1>
    </dataValidation>
    <dataValidation type="list" allowBlank="1" showInputMessage="1" showErrorMessage="1" sqref="D826:D843 D934:D1023 D1753:D1826 D1681:D1734 D1092:D1095 D1097:D1100 D1102:D1105 D1107:D1110 D1112:D1115 D1117:D1120 D1122:D1125 D1835:D1838 D1840:D1843 D1845:D1852 D1865:D1870 D1946:D1965 D2006:D2049 D2056:D2095 D2129 D2131 D2133 D2135 D2137 D2139 D2141 D2143 D2145 D2147 D2456:D2489 D2367 D2370 D2373 D2406:D2423 D2633 D2426:D2437 D2442 D2447 D2449:D2450 D2453:D2454 D2321:D2364 D2542:D2549 D2555:D2556 D2558 D2560 D2562 D2564 D2566 D2568 D2570 D2572 D2578 D2583 D2588 D2593 D2598 D2603 D2608 D2613 D2618 D2623 D2628 D4020:D4022 D4015 D2643 D2638" xr:uid="{1DC67C28-9BBD-4E96-97AC-47DB7DF9369B}">
      <formula1>Studies</formula1>
    </dataValidation>
    <dataValidation type="list" allowBlank="1" showInputMessage="1" showErrorMessage="1" sqref="D2:D1055 D1059:D1061 D1065:D1067 D1071:D1073 D1077:D1079 D1083:D1085 D2628 D1089:D1875 D1877:D1878 D1883:D1884 D1880:D1881 D2129 D2131 D2133 D2135 D2141 D2137 D2139 D2143 D2145 D2215:D2284 D2288 D1886:D2127 D2147:D2199 D2203 D2207 D2211 D2292:D2296 D2300 D2304 D2308 D2312 D2316 D2320:D2437 D2442 D2447 D2449:D2450 D2453:D2454 D2456:D2553 D2555:D2556 D2558:D2570 D2572 D2578 D2583 D2588 D2593 D2598 D2603 D2608 D2613 D2618 D2623 D4015 D4020:D5010 D2633 D2638 D2643 D2645:D2647 D2649:D2651 D2653:D2655 D2657:D2659 D2661:D2663 D2665:D2667 D2669:D2671 D2673:D2675 D2677:D4010" xr:uid="{EB24EB11-1501-8540-8693-590D1776FDD5}">
      <formula1>Treatments</formula1>
    </dataValidation>
    <dataValidation type="list" allowBlank="1" showInputMessage="1" showErrorMessage="1" sqref="E1673:E1678 E1681:E1686 E1693:E1700 E1703:E1704 E1707:E1708 E1711:E1712 E1715:E1718 E1721:E1722 E1729:E1730 E1733:E1734 E1737:E1844 E2:E1664 F2:F4010 E1853:E4010" xr:uid="{CAFE44BF-F978-FA43-BC83-5525156D9EA4}">
      <formula1>Outcomes</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R257"/>
  <sheetViews>
    <sheetView zoomScale="74" zoomScaleNormal="75" workbookViewId="0">
      <pane xSplit="1" ySplit="3" topLeftCell="E253" activePane="bottomRight" state="frozen"/>
      <selection pane="topRight" activeCell="B1" sqref="B1"/>
      <selection pane="bottomLeft" activeCell="A3" sqref="A3"/>
      <selection pane="bottomRight" activeCell="A213" sqref="A213"/>
    </sheetView>
  </sheetViews>
  <sheetFormatPr defaultColWidth="8.81640625" defaultRowHeight="14.5" x14ac:dyDescent="0.35"/>
  <cols>
    <col min="1" max="1" width="34" style="63" customWidth="1"/>
    <col min="2" max="2" width="17.453125" style="6" customWidth="1"/>
    <col min="3" max="3" width="34.1796875" style="7" customWidth="1"/>
    <col min="4" max="4" width="17.453125" style="6" customWidth="1"/>
    <col min="5" max="5" width="26.453125" style="7" customWidth="1"/>
    <col min="6" max="6" width="17.453125" style="6" customWidth="1"/>
    <col min="7" max="7" width="26.453125" style="7" customWidth="1"/>
    <col min="8" max="8" width="17.453125" style="6" customWidth="1"/>
    <col min="9" max="9" width="26.453125" style="7" customWidth="1"/>
    <col min="10" max="10" width="17.453125" style="6" customWidth="1"/>
    <col min="11" max="11" width="26.453125" style="7" customWidth="1"/>
    <col min="12" max="12" width="17.453125" style="6" customWidth="1"/>
    <col min="13" max="13" width="26.453125" style="7" customWidth="1"/>
    <col min="14" max="14" width="17.453125" style="6" customWidth="1"/>
    <col min="15" max="15" width="26.453125" style="2" customWidth="1"/>
    <col min="16" max="96" width="9.1796875" style="2"/>
    <col min="97" max="16384" width="8.81640625" style="2"/>
  </cols>
  <sheetData>
    <row r="1" spans="1:96" ht="15" thickBot="1" x14ac:dyDescent="0.4">
      <c r="A1" s="50"/>
      <c r="B1" s="50"/>
      <c r="C1" s="50"/>
      <c r="D1" s="11"/>
      <c r="E1" s="14"/>
      <c r="F1" s="11"/>
      <c r="G1" s="14"/>
      <c r="H1" s="11"/>
      <c r="I1" s="14"/>
      <c r="J1" s="11"/>
      <c r="K1" s="14"/>
      <c r="L1" s="11"/>
      <c r="M1" s="14"/>
      <c r="N1" s="11"/>
    </row>
    <row r="2" spans="1:96" s="55" customFormat="1" ht="30.75" customHeight="1" x14ac:dyDescent="0.35">
      <c r="A2" s="54"/>
      <c r="B2" s="491" t="s">
        <v>161</v>
      </c>
      <c r="C2" s="492"/>
      <c r="D2" s="491" t="s">
        <v>162</v>
      </c>
      <c r="E2" s="492"/>
      <c r="F2" s="491" t="s">
        <v>163</v>
      </c>
      <c r="G2" s="492"/>
      <c r="H2" s="491" t="s">
        <v>164</v>
      </c>
      <c r="I2" s="492"/>
      <c r="J2" s="491" t="s">
        <v>165</v>
      </c>
      <c r="K2" s="492"/>
      <c r="L2" s="491" t="s">
        <v>166</v>
      </c>
      <c r="M2" s="492"/>
      <c r="N2" s="491" t="s">
        <v>167</v>
      </c>
      <c r="O2" s="492"/>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row>
    <row r="3" spans="1:96" s="5" customFormat="1" ht="33.75" customHeight="1" thickBot="1" x14ac:dyDescent="0.4">
      <c r="A3" s="56" t="s">
        <v>98</v>
      </c>
      <c r="B3" s="3" t="s">
        <v>168</v>
      </c>
      <c r="C3" s="4" t="s">
        <v>169</v>
      </c>
      <c r="D3" s="3" t="s">
        <v>168</v>
      </c>
      <c r="E3" s="4" t="s">
        <v>169</v>
      </c>
      <c r="F3" s="3" t="s">
        <v>168</v>
      </c>
      <c r="G3" s="4" t="s">
        <v>169</v>
      </c>
      <c r="H3" s="3" t="s">
        <v>168</v>
      </c>
      <c r="I3" s="4" t="s">
        <v>169</v>
      </c>
      <c r="J3" s="3" t="s">
        <v>168</v>
      </c>
      <c r="K3" s="4" t="s">
        <v>169</v>
      </c>
      <c r="L3" s="3" t="s">
        <v>168</v>
      </c>
      <c r="M3" s="4" t="s">
        <v>169</v>
      </c>
      <c r="N3" s="3" t="s">
        <v>168</v>
      </c>
      <c r="O3" s="47" t="s">
        <v>169</v>
      </c>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row>
    <row r="4" spans="1:96" ht="43.5" x14ac:dyDescent="0.35">
      <c r="A4" s="52" t="s">
        <v>53</v>
      </c>
      <c r="B4" s="27" t="s">
        <v>30</v>
      </c>
      <c r="C4" s="31" t="s">
        <v>473</v>
      </c>
      <c r="D4" s="27" t="s">
        <v>30</v>
      </c>
      <c r="E4" s="31" t="s">
        <v>449</v>
      </c>
      <c r="F4" s="10" t="s">
        <v>184</v>
      </c>
      <c r="G4" s="53" t="s">
        <v>468</v>
      </c>
      <c r="H4" s="10" t="s">
        <v>184</v>
      </c>
      <c r="I4" s="490" t="s">
        <v>465</v>
      </c>
      <c r="J4" s="29" t="s">
        <v>190</v>
      </c>
      <c r="K4" s="30" t="s">
        <v>466</v>
      </c>
      <c r="L4" s="27" t="s">
        <v>30</v>
      </c>
      <c r="M4" s="31" t="s">
        <v>447</v>
      </c>
      <c r="N4" s="10" t="s">
        <v>184</v>
      </c>
      <c r="O4" s="12" t="s">
        <v>189</v>
      </c>
    </row>
    <row r="5" spans="1:96" ht="43.5" x14ac:dyDescent="0.35">
      <c r="A5" s="52" t="s">
        <v>53</v>
      </c>
      <c r="B5" s="27"/>
      <c r="C5" s="31"/>
      <c r="D5" s="57"/>
      <c r="E5" s="58"/>
      <c r="F5" s="59"/>
      <c r="G5" s="53"/>
      <c r="H5" s="10"/>
      <c r="I5" s="490"/>
      <c r="J5" s="60"/>
      <c r="K5" s="30"/>
      <c r="L5" s="57"/>
      <c r="M5" s="31"/>
      <c r="N5" s="10"/>
      <c r="O5" s="12"/>
    </row>
    <row r="6" spans="1:96" x14ac:dyDescent="0.35">
      <c r="A6" s="23"/>
      <c r="B6" s="11"/>
      <c r="C6" s="14"/>
      <c r="D6" s="11"/>
      <c r="E6" s="14"/>
      <c r="F6" s="11"/>
      <c r="G6" s="14"/>
      <c r="H6" s="11"/>
      <c r="I6" s="14"/>
      <c r="J6" s="11"/>
      <c r="K6" s="14"/>
      <c r="L6" s="11"/>
      <c r="M6" s="14"/>
      <c r="N6" s="11"/>
    </row>
    <row r="7" spans="1:96" ht="101.5" x14ac:dyDescent="0.35">
      <c r="A7" s="52" t="s">
        <v>57</v>
      </c>
      <c r="B7" s="10" t="s">
        <v>184</v>
      </c>
      <c r="C7" s="53" t="s">
        <v>208</v>
      </c>
      <c r="D7" s="27" t="s">
        <v>30</v>
      </c>
      <c r="E7" s="34" t="s">
        <v>449</v>
      </c>
      <c r="F7" s="10" t="s">
        <v>471</v>
      </c>
      <c r="G7" s="53" t="s">
        <v>209</v>
      </c>
      <c r="H7" s="27" t="s">
        <v>30</v>
      </c>
      <c r="I7" s="31" t="s">
        <v>473</v>
      </c>
      <c r="J7" s="29" t="s">
        <v>190</v>
      </c>
      <c r="K7" s="30" t="s">
        <v>210</v>
      </c>
      <c r="L7" s="27" t="s">
        <v>30</v>
      </c>
      <c r="M7" s="31" t="s">
        <v>447</v>
      </c>
      <c r="N7" s="10" t="s">
        <v>184</v>
      </c>
      <c r="O7" s="12" t="s">
        <v>189</v>
      </c>
    </row>
    <row r="8" spans="1:96" ht="43.5" x14ac:dyDescent="0.35">
      <c r="A8" s="52" t="s">
        <v>57</v>
      </c>
      <c r="B8" s="10"/>
      <c r="C8" s="9"/>
      <c r="D8" s="27"/>
      <c r="E8" s="58"/>
      <c r="F8" s="21"/>
      <c r="G8" s="53" t="s">
        <v>457</v>
      </c>
      <c r="H8" s="32"/>
      <c r="I8" s="31"/>
      <c r="J8" s="61"/>
      <c r="K8" s="33"/>
      <c r="L8" s="32"/>
      <c r="M8" s="31"/>
      <c r="N8" s="10"/>
      <c r="O8" s="12"/>
    </row>
    <row r="9" spans="1:96" x14ac:dyDescent="0.35">
      <c r="A9" s="23"/>
      <c r="B9" s="11"/>
      <c r="C9" s="14"/>
      <c r="D9" s="11"/>
      <c r="E9" s="14"/>
      <c r="F9" s="11"/>
      <c r="G9" s="14"/>
      <c r="H9" s="11"/>
      <c r="I9" s="14"/>
      <c r="J9" s="11"/>
      <c r="K9" s="14"/>
      <c r="L9" s="11"/>
      <c r="M9" s="14"/>
      <c r="N9" s="11"/>
    </row>
    <row r="10" spans="1:96" ht="58" x14ac:dyDescent="0.35">
      <c r="A10" s="52" t="s">
        <v>44</v>
      </c>
      <c r="B10" s="27" t="s">
        <v>30</v>
      </c>
      <c r="C10" s="31" t="s">
        <v>473</v>
      </c>
      <c r="D10" s="27" t="s">
        <v>30</v>
      </c>
      <c r="E10" s="31" t="s">
        <v>449</v>
      </c>
      <c r="F10" s="10" t="s">
        <v>184</v>
      </c>
      <c r="G10" s="53" t="s">
        <v>220</v>
      </c>
      <c r="H10" s="27" t="s">
        <v>30</v>
      </c>
      <c r="I10" s="31" t="s">
        <v>474</v>
      </c>
      <c r="J10" s="29" t="s">
        <v>190</v>
      </c>
      <c r="K10" s="30" t="s">
        <v>221</v>
      </c>
      <c r="L10" s="27" t="s">
        <v>30</v>
      </c>
      <c r="M10" s="31" t="s">
        <v>447</v>
      </c>
      <c r="N10" s="27" t="s">
        <v>30</v>
      </c>
      <c r="O10" s="35" t="s">
        <v>212</v>
      </c>
    </row>
    <row r="11" spans="1:96" ht="43.5" x14ac:dyDescent="0.35">
      <c r="A11" s="52" t="s">
        <v>44</v>
      </c>
      <c r="B11" s="27"/>
      <c r="C11" s="31"/>
      <c r="D11" s="27"/>
      <c r="E11" s="58"/>
      <c r="F11" s="10"/>
      <c r="G11" s="53"/>
      <c r="H11" s="27"/>
      <c r="I11" s="31"/>
      <c r="J11" s="29"/>
      <c r="K11" s="30" t="s">
        <v>462</v>
      </c>
      <c r="L11" s="27"/>
      <c r="M11" s="31"/>
      <c r="N11" s="27"/>
      <c r="O11" s="35"/>
    </row>
    <row r="12" spans="1:96" x14ac:dyDescent="0.35">
      <c r="A12" s="23"/>
      <c r="B12" s="11"/>
      <c r="C12" s="14"/>
      <c r="D12" s="11"/>
      <c r="E12" s="14"/>
      <c r="F12" s="11"/>
      <c r="G12" s="14"/>
      <c r="H12" s="11"/>
      <c r="I12" s="14"/>
      <c r="J12" s="11"/>
      <c r="K12" s="14"/>
      <c r="L12" s="11"/>
      <c r="M12" s="14"/>
      <c r="N12" s="11"/>
    </row>
    <row r="13" spans="1:96" ht="43.5" x14ac:dyDescent="0.35">
      <c r="A13" s="52" t="s">
        <v>31</v>
      </c>
      <c r="B13" s="10" t="s">
        <v>184</v>
      </c>
      <c r="C13" s="53" t="s">
        <v>198</v>
      </c>
      <c r="D13" s="27" t="s">
        <v>30</v>
      </c>
      <c r="E13" s="28" t="s">
        <v>449</v>
      </c>
      <c r="F13" s="27" t="s">
        <v>30</v>
      </c>
      <c r="G13" s="28" t="s">
        <v>449</v>
      </c>
      <c r="H13" s="27" t="s">
        <v>30</v>
      </c>
      <c r="I13" s="31" t="s">
        <v>473</v>
      </c>
      <c r="J13" s="10" t="s">
        <v>184</v>
      </c>
      <c r="K13" s="53" t="s">
        <v>199</v>
      </c>
      <c r="L13" s="27" t="s">
        <v>30</v>
      </c>
      <c r="M13" s="31" t="s">
        <v>447</v>
      </c>
      <c r="N13" s="27" t="s">
        <v>30</v>
      </c>
      <c r="O13" s="35" t="s">
        <v>200</v>
      </c>
    </row>
    <row r="14" spans="1:96" ht="43.5" x14ac:dyDescent="0.35">
      <c r="A14" s="52" t="s">
        <v>31</v>
      </c>
      <c r="B14" s="10"/>
      <c r="C14" s="17"/>
      <c r="D14" s="27"/>
      <c r="E14" s="58"/>
      <c r="F14" s="27"/>
      <c r="G14" s="31"/>
      <c r="H14" s="27"/>
      <c r="I14" s="31"/>
      <c r="J14" s="10"/>
      <c r="K14" s="17" t="s">
        <v>452</v>
      </c>
      <c r="L14" s="27"/>
      <c r="M14" s="31"/>
      <c r="N14" s="27"/>
      <c r="O14" s="35"/>
    </row>
    <row r="15" spans="1:96" x14ac:dyDescent="0.35">
      <c r="A15" s="23"/>
      <c r="B15" s="11"/>
      <c r="C15" s="15"/>
      <c r="D15" s="11"/>
      <c r="E15" s="15"/>
      <c r="F15" s="11"/>
      <c r="G15" s="14"/>
      <c r="H15" s="11"/>
      <c r="I15" s="15"/>
      <c r="J15" s="11"/>
      <c r="K15" s="15"/>
      <c r="L15" s="11"/>
      <c r="M15" s="15"/>
      <c r="N15" s="11"/>
    </row>
    <row r="16" spans="1:96" ht="43.5" x14ac:dyDescent="0.35">
      <c r="A16" s="52" t="s">
        <v>61</v>
      </c>
      <c r="B16" s="27" t="s">
        <v>30</v>
      </c>
      <c r="C16" s="31" t="s">
        <v>473</v>
      </c>
      <c r="D16" s="27" t="s">
        <v>30</v>
      </c>
      <c r="E16" s="31" t="s">
        <v>473</v>
      </c>
      <c r="F16" s="27" t="s">
        <v>30</v>
      </c>
      <c r="G16" s="31" t="s">
        <v>473</v>
      </c>
      <c r="H16" s="27" t="s">
        <v>30</v>
      </c>
      <c r="I16" s="31" t="s">
        <v>473</v>
      </c>
      <c r="J16" s="27" t="s">
        <v>30</v>
      </c>
      <c r="K16" s="31" t="s">
        <v>214</v>
      </c>
      <c r="L16" s="27" t="s">
        <v>30</v>
      </c>
      <c r="M16" s="31" t="s">
        <v>193</v>
      </c>
      <c r="N16" s="27" t="s">
        <v>30</v>
      </c>
      <c r="O16" s="35" t="s">
        <v>215</v>
      </c>
    </row>
    <row r="17" spans="1:15" ht="43.5" x14ac:dyDescent="0.35">
      <c r="A17" s="52" t="s">
        <v>478</v>
      </c>
      <c r="B17" s="27"/>
      <c r="C17" s="31"/>
      <c r="D17" s="27"/>
      <c r="E17" s="31"/>
      <c r="F17" s="27"/>
      <c r="G17" s="31"/>
      <c r="H17" s="27"/>
      <c r="I17" s="31"/>
      <c r="J17" s="27"/>
      <c r="K17" s="31"/>
      <c r="L17" s="32"/>
      <c r="M17" s="31" t="s">
        <v>447</v>
      </c>
      <c r="N17" s="32"/>
      <c r="O17" s="35"/>
    </row>
    <row r="18" spans="1:15" x14ac:dyDescent="0.35">
      <c r="A18" s="23"/>
      <c r="B18" s="11"/>
      <c r="C18" s="14"/>
      <c r="D18" s="11"/>
      <c r="E18" s="14"/>
      <c r="F18" s="11"/>
      <c r="G18" s="14"/>
      <c r="H18" s="11"/>
      <c r="I18" s="14"/>
      <c r="J18" s="11"/>
      <c r="K18" s="14"/>
      <c r="L18" s="11"/>
      <c r="M18" s="14"/>
      <c r="N18" s="11"/>
    </row>
    <row r="19" spans="1:15" ht="72.5" x14ac:dyDescent="0.35">
      <c r="A19" s="52" t="s">
        <v>477</v>
      </c>
      <c r="B19" s="27" t="s">
        <v>30</v>
      </c>
      <c r="C19" s="31" t="s">
        <v>473</v>
      </c>
      <c r="D19" s="27" t="s">
        <v>30</v>
      </c>
      <c r="E19" s="31" t="s">
        <v>473</v>
      </c>
      <c r="F19" s="29" t="s">
        <v>190</v>
      </c>
      <c r="G19" s="30" t="s">
        <v>454</v>
      </c>
      <c r="H19" s="29" t="s">
        <v>190</v>
      </c>
      <c r="I19" s="30" t="s">
        <v>454</v>
      </c>
      <c r="J19" s="27" t="s">
        <v>30</v>
      </c>
      <c r="K19" s="31" t="s">
        <v>207</v>
      </c>
      <c r="L19" s="27" t="s">
        <v>30</v>
      </c>
      <c r="M19" s="31" t="s">
        <v>447</v>
      </c>
      <c r="N19" s="10" t="s">
        <v>184</v>
      </c>
      <c r="O19" s="12" t="s">
        <v>189</v>
      </c>
    </row>
    <row r="20" spans="1:15" ht="43.5" x14ac:dyDescent="0.35">
      <c r="A20" s="52" t="s">
        <v>477</v>
      </c>
      <c r="B20" s="27"/>
      <c r="C20" s="31"/>
      <c r="D20" s="27"/>
      <c r="E20" s="31"/>
      <c r="F20" s="29"/>
      <c r="G20" s="33" t="s">
        <v>455</v>
      </c>
      <c r="H20" s="29"/>
      <c r="I20" s="30" t="s">
        <v>455</v>
      </c>
      <c r="J20" s="32"/>
      <c r="K20" s="28" t="s">
        <v>456</v>
      </c>
      <c r="L20" s="32"/>
      <c r="M20" s="31"/>
      <c r="N20" s="10"/>
      <c r="O20" s="12"/>
    </row>
    <row r="21" spans="1:15" x14ac:dyDescent="0.35">
      <c r="A21" s="23"/>
      <c r="B21" s="11"/>
      <c r="C21" s="14"/>
      <c r="D21" s="11"/>
      <c r="E21" s="14"/>
      <c r="F21" s="11"/>
      <c r="G21" s="14"/>
      <c r="H21" s="11"/>
      <c r="I21" s="14"/>
      <c r="J21" s="11"/>
      <c r="K21" s="14"/>
      <c r="L21" s="11"/>
      <c r="M21" s="14"/>
      <c r="N21" s="11"/>
    </row>
    <row r="22" spans="1:15" ht="87" x14ac:dyDescent="0.35">
      <c r="A22" s="52" t="s">
        <v>9</v>
      </c>
      <c r="B22" s="10" t="s">
        <v>184</v>
      </c>
      <c r="C22" s="53" t="s">
        <v>195</v>
      </c>
      <c r="D22" s="27" t="s">
        <v>30</v>
      </c>
      <c r="E22" s="28" t="s">
        <v>449</v>
      </c>
      <c r="F22" s="10" t="s">
        <v>184</v>
      </c>
      <c r="G22" s="53" t="s">
        <v>196</v>
      </c>
      <c r="H22" s="27" t="s">
        <v>30</v>
      </c>
      <c r="I22" s="31" t="s">
        <v>472</v>
      </c>
      <c r="J22" s="29" t="s">
        <v>190</v>
      </c>
      <c r="K22" s="30" t="s">
        <v>197</v>
      </c>
      <c r="L22" s="27" t="s">
        <v>30</v>
      </c>
      <c r="M22" s="31" t="s">
        <v>451</v>
      </c>
      <c r="N22" s="29" t="s">
        <v>190</v>
      </c>
      <c r="O22" s="48" t="s">
        <v>448</v>
      </c>
    </row>
    <row r="23" spans="1:15" ht="43.5" x14ac:dyDescent="0.35">
      <c r="A23" s="52" t="s">
        <v>9</v>
      </c>
      <c r="B23" s="10"/>
      <c r="C23" s="17"/>
      <c r="D23" s="27"/>
      <c r="E23" s="58"/>
      <c r="F23" s="10"/>
      <c r="G23" s="17" t="s">
        <v>206</v>
      </c>
      <c r="H23" s="27"/>
      <c r="I23" s="31"/>
      <c r="J23" s="29"/>
      <c r="K23" s="33" t="s">
        <v>450</v>
      </c>
      <c r="L23" s="27"/>
      <c r="M23" s="58"/>
      <c r="N23" s="29"/>
      <c r="O23" s="48"/>
    </row>
    <row r="24" spans="1:15" x14ac:dyDescent="0.35">
      <c r="A24" s="23"/>
      <c r="B24" s="11"/>
      <c r="C24" s="14"/>
      <c r="D24" s="11"/>
      <c r="E24" s="14"/>
      <c r="F24" s="11"/>
      <c r="G24" s="14"/>
      <c r="H24" s="11"/>
      <c r="I24" s="14"/>
      <c r="J24" s="11"/>
      <c r="K24" s="14"/>
      <c r="L24" s="11"/>
      <c r="M24" s="14"/>
      <c r="N24" s="11"/>
    </row>
    <row r="25" spans="1:15" ht="116" x14ac:dyDescent="0.35">
      <c r="A25" s="52" t="s">
        <v>48</v>
      </c>
      <c r="B25" s="27" t="s">
        <v>30</v>
      </c>
      <c r="C25" s="31" t="s">
        <v>473</v>
      </c>
      <c r="D25" s="27" t="s">
        <v>30</v>
      </c>
      <c r="E25" s="31" t="s">
        <v>473</v>
      </c>
      <c r="F25" s="10" t="s">
        <v>184</v>
      </c>
      <c r="G25" s="53" t="s">
        <v>463</v>
      </c>
      <c r="H25" s="10" t="s">
        <v>184</v>
      </c>
      <c r="I25" s="53" t="s">
        <v>464</v>
      </c>
      <c r="J25" s="10" t="s">
        <v>184</v>
      </c>
      <c r="K25" s="53" t="s">
        <v>222</v>
      </c>
      <c r="L25" s="27" t="s">
        <v>30</v>
      </c>
      <c r="M25" s="31" t="s">
        <v>447</v>
      </c>
      <c r="N25" s="27" t="s">
        <v>30</v>
      </c>
      <c r="O25" s="35" t="s">
        <v>223</v>
      </c>
    </row>
    <row r="26" spans="1:15" ht="43.5" x14ac:dyDescent="0.35">
      <c r="A26" s="52" t="s">
        <v>48</v>
      </c>
      <c r="B26" s="27"/>
      <c r="C26" s="31"/>
      <c r="D26" s="27"/>
      <c r="E26" s="31"/>
      <c r="F26" s="10"/>
      <c r="G26" s="53"/>
      <c r="H26" s="59"/>
      <c r="I26" s="53"/>
      <c r="J26" s="21"/>
      <c r="K26" s="17"/>
      <c r="L26" s="27"/>
      <c r="M26" s="31"/>
      <c r="N26" s="27"/>
      <c r="O26" s="35"/>
    </row>
    <row r="27" spans="1:15" x14ac:dyDescent="0.35">
      <c r="A27" s="23"/>
      <c r="B27" s="11"/>
      <c r="C27" s="14"/>
      <c r="D27" s="11"/>
      <c r="E27" s="14"/>
      <c r="F27" s="11"/>
      <c r="G27" s="14"/>
      <c r="H27" s="11"/>
      <c r="I27" s="14"/>
      <c r="J27" s="11"/>
      <c r="K27" s="14"/>
      <c r="L27" s="11"/>
      <c r="M27" s="14"/>
      <c r="N27" s="11"/>
    </row>
    <row r="28" spans="1:15" ht="101.5" x14ac:dyDescent="0.35">
      <c r="A28" s="52" t="s">
        <v>23</v>
      </c>
      <c r="B28" s="27" t="s">
        <v>30</v>
      </c>
      <c r="C28" s="28" t="s">
        <v>449</v>
      </c>
      <c r="D28" s="27" t="s">
        <v>30</v>
      </c>
      <c r="E28" s="28" t="s">
        <v>449</v>
      </c>
      <c r="F28" s="29" t="s">
        <v>190</v>
      </c>
      <c r="G28" s="30" t="s">
        <v>191</v>
      </c>
      <c r="H28" s="29" t="s">
        <v>190</v>
      </c>
      <c r="I28" s="30" t="s">
        <v>191</v>
      </c>
      <c r="J28" s="29" t="s">
        <v>190</v>
      </c>
      <c r="K28" s="30" t="s">
        <v>192</v>
      </c>
      <c r="L28" s="27" t="s">
        <v>30</v>
      </c>
      <c r="M28" s="31" t="s">
        <v>447</v>
      </c>
      <c r="N28" s="27" t="s">
        <v>30</v>
      </c>
      <c r="O28" s="35" t="s">
        <v>194</v>
      </c>
    </row>
    <row r="29" spans="1:15" x14ac:dyDescent="0.35">
      <c r="A29" s="23"/>
      <c r="B29" s="27"/>
      <c r="C29" s="31"/>
      <c r="D29" s="27"/>
      <c r="E29" s="31"/>
      <c r="F29" s="61"/>
      <c r="G29" s="33"/>
      <c r="H29" s="61"/>
      <c r="I29" s="33"/>
      <c r="J29" s="61"/>
      <c r="K29" s="33"/>
      <c r="L29" s="27"/>
      <c r="M29" s="28"/>
      <c r="N29" s="27"/>
      <c r="O29" s="35"/>
    </row>
    <row r="30" spans="1:15" x14ac:dyDescent="0.35">
      <c r="A30" s="23"/>
      <c r="B30" s="11"/>
      <c r="C30" s="14"/>
      <c r="D30" s="11"/>
      <c r="E30" s="14"/>
      <c r="F30" s="11"/>
      <c r="G30" s="14"/>
      <c r="H30" s="11"/>
      <c r="I30" s="14"/>
      <c r="J30" s="11"/>
      <c r="K30" s="14"/>
      <c r="L30" s="11"/>
      <c r="M30" s="14"/>
      <c r="N30" s="11"/>
    </row>
    <row r="31" spans="1:15" ht="87" x14ac:dyDescent="0.35">
      <c r="A31" s="52" t="s">
        <v>584</v>
      </c>
      <c r="B31" s="10" t="s">
        <v>184</v>
      </c>
      <c r="C31" s="53" t="s">
        <v>218</v>
      </c>
      <c r="D31" s="27" t="s">
        <v>30</v>
      </c>
      <c r="E31" s="31" t="s">
        <v>449</v>
      </c>
      <c r="F31" s="10" t="s">
        <v>184</v>
      </c>
      <c r="G31" s="53" t="s">
        <v>219</v>
      </c>
      <c r="H31" s="27" t="s">
        <v>30</v>
      </c>
      <c r="I31" s="31" t="s">
        <v>473</v>
      </c>
      <c r="J31" s="27" t="s">
        <v>30</v>
      </c>
      <c r="K31" s="31" t="s">
        <v>460</v>
      </c>
      <c r="L31" s="27" t="s">
        <v>30</v>
      </c>
      <c r="M31" s="31" t="s">
        <v>193</v>
      </c>
      <c r="N31" s="10" t="s">
        <v>184</v>
      </c>
      <c r="O31" s="12" t="s">
        <v>205</v>
      </c>
    </row>
    <row r="32" spans="1:15" ht="58" x14ac:dyDescent="0.35">
      <c r="A32" s="52" t="s">
        <v>584</v>
      </c>
      <c r="B32" s="10"/>
      <c r="C32" s="17"/>
      <c r="D32" s="27"/>
      <c r="E32" s="28"/>
      <c r="F32" s="10"/>
      <c r="G32" s="17" t="s">
        <v>461</v>
      </c>
      <c r="H32" s="27"/>
      <c r="I32" s="31"/>
      <c r="J32" s="27"/>
      <c r="K32" s="28"/>
      <c r="L32" s="27"/>
      <c r="M32" s="31" t="s">
        <v>447</v>
      </c>
      <c r="N32" s="10"/>
      <c r="O32" s="12"/>
    </row>
    <row r="33" spans="1:15" x14ac:dyDescent="0.35">
      <c r="A33" s="23"/>
      <c r="B33" s="11"/>
      <c r="C33" s="15"/>
      <c r="D33" s="11"/>
      <c r="E33" s="15"/>
      <c r="F33" s="11"/>
      <c r="G33" s="15"/>
      <c r="H33" s="11"/>
      <c r="I33" s="15"/>
      <c r="J33" s="11"/>
      <c r="K33" s="15"/>
      <c r="L33" s="11"/>
      <c r="M33" s="15"/>
      <c r="N33" s="11"/>
    </row>
    <row r="34" spans="1:15" ht="58" x14ac:dyDescent="0.35">
      <c r="A34" s="52" t="s">
        <v>65</v>
      </c>
      <c r="B34" s="27" t="s">
        <v>30</v>
      </c>
      <c r="C34" s="31" t="s">
        <v>473</v>
      </c>
      <c r="D34" s="27" t="s">
        <v>30</v>
      </c>
      <c r="E34" s="31" t="s">
        <v>473</v>
      </c>
      <c r="F34" s="27" t="s">
        <v>30</v>
      </c>
      <c r="G34" s="31" t="s">
        <v>473</v>
      </c>
      <c r="H34" s="27" t="s">
        <v>30</v>
      </c>
      <c r="I34" s="31" t="s">
        <v>473</v>
      </c>
      <c r="J34" s="29" t="s">
        <v>190</v>
      </c>
      <c r="K34" s="30" t="s">
        <v>216</v>
      </c>
      <c r="L34" s="27" t="s">
        <v>30</v>
      </c>
      <c r="M34" s="31" t="s">
        <v>447</v>
      </c>
      <c r="N34" s="29" t="s">
        <v>190</v>
      </c>
      <c r="O34" s="48" t="s">
        <v>459</v>
      </c>
    </row>
    <row r="35" spans="1:15" ht="43.5" x14ac:dyDescent="0.35">
      <c r="A35" s="52" t="s">
        <v>65</v>
      </c>
      <c r="B35" s="27"/>
      <c r="C35" s="31"/>
      <c r="D35" s="27"/>
      <c r="E35" s="31"/>
      <c r="F35" s="27"/>
      <c r="G35" s="31"/>
      <c r="H35" s="27"/>
      <c r="I35" s="31"/>
      <c r="J35" s="61"/>
      <c r="K35" s="33"/>
      <c r="L35" s="32"/>
      <c r="M35" s="31"/>
      <c r="N35" s="61"/>
      <c r="O35" s="48"/>
    </row>
    <row r="36" spans="1:15" x14ac:dyDescent="0.35">
      <c r="A36" s="23"/>
      <c r="B36" s="11"/>
      <c r="C36" s="14"/>
      <c r="D36" s="11"/>
      <c r="E36" s="14"/>
      <c r="F36" s="11"/>
      <c r="G36" s="14"/>
      <c r="H36" s="11"/>
      <c r="I36" s="14"/>
      <c r="J36" s="11"/>
      <c r="K36" s="14"/>
      <c r="L36" s="11"/>
      <c r="M36" s="14"/>
      <c r="N36" s="11"/>
    </row>
    <row r="37" spans="1:15" ht="145" x14ac:dyDescent="0.35">
      <c r="A37" s="52" t="s">
        <v>67</v>
      </c>
      <c r="B37" s="10" t="s">
        <v>184</v>
      </c>
      <c r="C37" s="53" t="s">
        <v>224</v>
      </c>
      <c r="D37" s="10" t="s">
        <v>184</v>
      </c>
      <c r="E37" s="53" t="s">
        <v>225</v>
      </c>
      <c r="F37" s="29" t="s">
        <v>190</v>
      </c>
      <c r="G37" s="30" t="s">
        <v>226</v>
      </c>
      <c r="H37" s="27" t="s">
        <v>30</v>
      </c>
      <c r="I37" s="31" t="s">
        <v>227</v>
      </c>
      <c r="J37" s="10" t="s">
        <v>184</v>
      </c>
      <c r="K37" s="53" t="s">
        <v>228</v>
      </c>
      <c r="L37" s="10" t="s">
        <v>184</v>
      </c>
      <c r="M37" s="53" t="s">
        <v>217</v>
      </c>
      <c r="N37" s="10" t="s">
        <v>184</v>
      </c>
      <c r="O37" s="12" t="s">
        <v>189</v>
      </c>
    </row>
    <row r="38" spans="1:15" ht="43.5" x14ac:dyDescent="0.35">
      <c r="A38" s="52" t="s">
        <v>67</v>
      </c>
      <c r="B38" s="10"/>
      <c r="C38" s="53"/>
      <c r="D38" s="10"/>
      <c r="E38" s="53"/>
      <c r="F38" s="29"/>
      <c r="G38" s="30"/>
      <c r="H38" s="57"/>
      <c r="I38" s="31" t="s">
        <v>467</v>
      </c>
      <c r="J38" s="21"/>
      <c r="K38" s="17"/>
      <c r="L38" s="59"/>
      <c r="M38" s="62"/>
      <c r="N38" s="10"/>
      <c r="O38" s="12"/>
    </row>
    <row r="39" spans="1:15" x14ac:dyDescent="0.35">
      <c r="A39" s="23"/>
      <c r="B39" s="11"/>
      <c r="C39" s="14"/>
      <c r="D39" s="11"/>
      <c r="E39" s="14"/>
      <c r="F39" s="11"/>
      <c r="G39" s="14"/>
      <c r="H39" s="11"/>
      <c r="I39" s="14"/>
      <c r="J39" s="11"/>
      <c r="K39" s="14"/>
      <c r="L39" s="11"/>
      <c r="M39" s="14"/>
      <c r="N39" s="11"/>
    </row>
    <row r="40" spans="1:15" ht="72.5" x14ac:dyDescent="0.35">
      <c r="A40" s="52" t="s">
        <v>70</v>
      </c>
      <c r="B40" s="10" t="s">
        <v>184</v>
      </c>
      <c r="C40" s="53" t="s">
        <v>201</v>
      </c>
      <c r="D40" s="27" t="s">
        <v>30</v>
      </c>
      <c r="E40" s="28" t="s">
        <v>449</v>
      </c>
      <c r="F40" s="29" t="s">
        <v>190</v>
      </c>
      <c r="G40" s="30" t="s">
        <v>202</v>
      </c>
      <c r="H40" s="29" t="s">
        <v>190</v>
      </c>
      <c r="I40" s="30" t="s">
        <v>203</v>
      </c>
      <c r="J40" s="10" t="s">
        <v>184</v>
      </c>
      <c r="K40" s="53" t="s">
        <v>204</v>
      </c>
      <c r="L40" s="10" t="s">
        <v>184</v>
      </c>
      <c r="M40" s="53" t="s">
        <v>217</v>
      </c>
      <c r="N40" s="10" t="s">
        <v>184</v>
      </c>
      <c r="O40" s="12" t="s">
        <v>189</v>
      </c>
    </row>
    <row r="41" spans="1:15" ht="43.5" x14ac:dyDescent="0.35">
      <c r="A41" s="52" t="s">
        <v>476</v>
      </c>
      <c r="B41" s="10"/>
      <c r="C41" s="53"/>
      <c r="D41" s="32"/>
      <c r="E41" s="58"/>
      <c r="F41" s="61"/>
      <c r="G41" s="33" t="s">
        <v>453</v>
      </c>
      <c r="H41" s="61"/>
      <c r="I41" s="33" t="s">
        <v>453</v>
      </c>
      <c r="J41" s="10"/>
      <c r="K41" s="17"/>
      <c r="L41" s="10"/>
      <c r="M41" s="53"/>
      <c r="N41" s="10"/>
      <c r="O41" s="12"/>
    </row>
    <row r="42" spans="1:15" x14ac:dyDescent="0.35">
      <c r="A42" s="23"/>
      <c r="B42" s="11"/>
      <c r="C42" s="14"/>
      <c r="D42" s="11"/>
      <c r="E42" s="14"/>
      <c r="F42" s="11"/>
      <c r="G42" s="14"/>
      <c r="H42" s="11"/>
      <c r="I42" s="14"/>
      <c r="J42" s="11"/>
      <c r="K42" s="14"/>
      <c r="L42" s="11"/>
      <c r="M42" s="14"/>
      <c r="N42" s="11"/>
    </row>
    <row r="43" spans="1:15" ht="43.5" x14ac:dyDescent="0.35">
      <c r="A43" s="52" t="s">
        <v>84</v>
      </c>
      <c r="B43" s="27" t="s">
        <v>30</v>
      </c>
      <c r="C43" s="31" t="s">
        <v>473</v>
      </c>
      <c r="D43" s="27" t="s">
        <v>30</v>
      </c>
      <c r="E43" s="31" t="s">
        <v>473</v>
      </c>
      <c r="F43" s="27" t="s">
        <v>30</v>
      </c>
      <c r="G43" s="31" t="s">
        <v>473</v>
      </c>
      <c r="H43" s="27" t="s">
        <v>30</v>
      </c>
      <c r="I43" s="31" t="s">
        <v>473</v>
      </c>
      <c r="J43" s="10" t="s">
        <v>184</v>
      </c>
      <c r="K43" s="53" t="s">
        <v>213</v>
      </c>
      <c r="L43" s="29" t="s">
        <v>190</v>
      </c>
      <c r="M43" s="30" t="s">
        <v>458</v>
      </c>
      <c r="N43" s="10" t="s">
        <v>184</v>
      </c>
      <c r="O43" s="12" t="s">
        <v>189</v>
      </c>
    </row>
    <row r="44" spans="1:15" ht="43.5" x14ac:dyDescent="0.35">
      <c r="A44" s="52" t="s">
        <v>84</v>
      </c>
      <c r="B44" s="27"/>
      <c r="C44" s="31"/>
      <c r="D44" s="27"/>
      <c r="E44" s="31"/>
      <c r="F44" s="27"/>
      <c r="G44" s="28" t="s">
        <v>211</v>
      </c>
      <c r="H44" s="27"/>
      <c r="I44" s="28" t="s">
        <v>211</v>
      </c>
      <c r="J44" s="21"/>
      <c r="K44" s="17"/>
      <c r="L44" s="61"/>
      <c r="M44" s="33"/>
      <c r="N44" s="10"/>
      <c r="O44" s="12"/>
    </row>
    <row r="45" spans="1:15" x14ac:dyDescent="0.35">
      <c r="A45" s="23"/>
      <c r="B45" s="11"/>
      <c r="C45" s="14"/>
      <c r="D45" s="11"/>
      <c r="E45" s="14"/>
      <c r="F45" s="11"/>
      <c r="G45" s="14"/>
      <c r="H45" s="11"/>
      <c r="I45" s="14"/>
      <c r="J45" s="11"/>
      <c r="K45" s="14"/>
      <c r="L45" s="11"/>
      <c r="M45" s="14"/>
      <c r="N45" s="11"/>
    </row>
    <row r="46" spans="1:15" ht="232" x14ac:dyDescent="0.35">
      <c r="A46" s="52" t="s">
        <v>356</v>
      </c>
      <c r="B46" s="10" t="s">
        <v>184</v>
      </c>
      <c r="C46" s="16" t="s">
        <v>185</v>
      </c>
      <c r="D46" s="10" t="s">
        <v>184</v>
      </c>
      <c r="E46" s="53" t="s">
        <v>186</v>
      </c>
      <c r="F46" s="10" t="s">
        <v>184</v>
      </c>
      <c r="G46" s="53" t="s">
        <v>444</v>
      </c>
      <c r="H46" s="10" t="s">
        <v>184</v>
      </c>
      <c r="I46" s="53" t="s">
        <v>445</v>
      </c>
      <c r="J46" s="10" t="s">
        <v>184</v>
      </c>
      <c r="K46" s="53" t="s">
        <v>187</v>
      </c>
      <c r="L46" s="10" t="s">
        <v>184</v>
      </c>
      <c r="M46" s="53" t="s">
        <v>188</v>
      </c>
      <c r="N46" s="10" t="s">
        <v>184</v>
      </c>
      <c r="O46" s="12" t="s">
        <v>189</v>
      </c>
    </row>
    <row r="47" spans="1:15" ht="58" x14ac:dyDescent="0.35">
      <c r="A47" s="52" t="s">
        <v>356</v>
      </c>
      <c r="B47" s="10"/>
      <c r="C47" s="53"/>
      <c r="D47" s="10"/>
      <c r="E47" s="16" t="s">
        <v>446</v>
      </c>
      <c r="F47" s="10"/>
      <c r="G47" s="53"/>
      <c r="H47" s="10"/>
      <c r="I47" s="53"/>
      <c r="J47" s="10"/>
      <c r="K47" s="53"/>
      <c r="L47" s="10"/>
      <c r="M47" s="53"/>
      <c r="N47" s="10"/>
      <c r="O47" s="12"/>
    </row>
    <row r="48" spans="1:15" x14ac:dyDescent="0.35">
      <c r="A48" s="23"/>
      <c r="B48" s="11"/>
      <c r="C48" s="14"/>
      <c r="D48" s="11"/>
      <c r="E48" s="14"/>
      <c r="F48" s="11"/>
      <c r="G48" s="14"/>
      <c r="H48" s="11"/>
      <c r="I48" s="14"/>
      <c r="J48" s="11"/>
      <c r="K48" s="14"/>
      <c r="L48" s="11"/>
      <c r="M48" s="14"/>
      <c r="N48" s="11"/>
    </row>
    <row r="49" spans="1:15" ht="130.5" x14ac:dyDescent="0.35">
      <c r="A49" s="22" t="s">
        <v>409</v>
      </c>
      <c r="B49" s="21" t="s">
        <v>184</v>
      </c>
      <c r="C49" s="17" t="s">
        <v>479</v>
      </c>
      <c r="D49" s="21" t="s">
        <v>184</v>
      </c>
      <c r="E49" s="17" t="s">
        <v>479</v>
      </c>
      <c r="F49" s="21" t="s">
        <v>184</v>
      </c>
      <c r="G49" s="17" t="s">
        <v>480</v>
      </c>
      <c r="H49" s="21" t="s">
        <v>184</v>
      </c>
      <c r="I49" s="17" t="s">
        <v>481</v>
      </c>
      <c r="J49" s="21" t="s">
        <v>184</v>
      </c>
      <c r="K49" s="17" t="s">
        <v>482</v>
      </c>
      <c r="L49" s="21" t="s">
        <v>184</v>
      </c>
      <c r="M49" s="17" t="s">
        <v>483</v>
      </c>
      <c r="N49" s="21" t="s">
        <v>184</v>
      </c>
      <c r="O49" s="12" t="s">
        <v>484</v>
      </c>
    </row>
    <row r="50" spans="1:15" ht="188.5" x14ac:dyDescent="0.35">
      <c r="A50" s="22" t="s">
        <v>409</v>
      </c>
      <c r="B50" s="21"/>
      <c r="C50" s="17" t="s">
        <v>485</v>
      </c>
      <c r="D50" s="21"/>
      <c r="E50" s="17"/>
      <c r="F50" s="21"/>
      <c r="G50" s="17"/>
      <c r="H50" s="21"/>
      <c r="I50" s="17" t="s">
        <v>485</v>
      </c>
      <c r="J50" s="21"/>
      <c r="K50" s="17" t="s">
        <v>486</v>
      </c>
      <c r="L50" s="21"/>
      <c r="M50" s="17"/>
      <c r="N50" s="21"/>
      <c r="O50" s="12"/>
    </row>
    <row r="51" spans="1:15" x14ac:dyDescent="0.35">
      <c r="A51" s="22"/>
      <c r="B51" s="18"/>
      <c r="C51" s="15"/>
      <c r="D51" s="18"/>
      <c r="E51" s="15"/>
      <c r="F51" s="18"/>
      <c r="G51" s="15"/>
      <c r="H51" s="18"/>
      <c r="I51" s="15"/>
      <c r="J51" s="18"/>
      <c r="K51" s="15"/>
      <c r="L51" s="18"/>
      <c r="M51" s="15"/>
      <c r="N51" s="18"/>
    </row>
    <row r="52" spans="1:15" ht="130.5" x14ac:dyDescent="0.35">
      <c r="A52" s="22" t="s">
        <v>358</v>
      </c>
      <c r="B52" s="21" t="s">
        <v>184</v>
      </c>
      <c r="C52" s="17" t="s">
        <v>479</v>
      </c>
      <c r="D52" s="21" t="s">
        <v>184</v>
      </c>
      <c r="E52" s="17" t="s">
        <v>479</v>
      </c>
      <c r="F52" s="21" t="s">
        <v>184</v>
      </c>
      <c r="G52" s="17" t="s">
        <v>480</v>
      </c>
      <c r="H52" s="21" t="s">
        <v>184</v>
      </c>
      <c r="I52" s="17" t="s">
        <v>481</v>
      </c>
      <c r="J52" s="21" t="s">
        <v>184</v>
      </c>
      <c r="K52" s="17" t="s">
        <v>482</v>
      </c>
      <c r="L52" s="21" t="s">
        <v>184</v>
      </c>
      <c r="M52" s="17" t="s">
        <v>483</v>
      </c>
      <c r="N52" s="21" t="s">
        <v>184</v>
      </c>
      <c r="O52" s="12" t="s">
        <v>484</v>
      </c>
    </row>
    <row r="53" spans="1:15" ht="188.5" x14ac:dyDescent="0.35">
      <c r="A53" s="22" t="s">
        <v>358</v>
      </c>
      <c r="B53" s="21"/>
      <c r="C53" s="17"/>
      <c r="D53" s="21"/>
      <c r="E53" s="17"/>
      <c r="F53" s="21"/>
      <c r="G53" s="17"/>
      <c r="H53" s="21"/>
      <c r="I53" s="17" t="s">
        <v>485</v>
      </c>
      <c r="J53" s="21"/>
      <c r="K53" s="17" t="s">
        <v>486</v>
      </c>
      <c r="L53" s="21"/>
      <c r="M53" s="17"/>
      <c r="N53" s="21"/>
      <c r="O53" s="12"/>
    </row>
    <row r="54" spans="1:15" x14ac:dyDescent="0.35">
      <c r="A54" s="22"/>
      <c r="B54" s="18"/>
      <c r="C54" s="15"/>
      <c r="D54" s="18"/>
      <c r="E54" s="15"/>
      <c r="F54" s="18"/>
      <c r="G54" s="15"/>
      <c r="H54" s="18"/>
      <c r="I54" s="15"/>
      <c r="J54" s="18"/>
      <c r="K54" s="15"/>
      <c r="L54" s="18"/>
      <c r="M54" s="15"/>
      <c r="N54" s="18"/>
    </row>
    <row r="55" spans="1:15" ht="203" x14ac:dyDescent="0.35">
      <c r="A55" s="23" t="s">
        <v>349</v>
      </c>
      <c r="B55" s="10" t="s">
        <v>184</v>
      </c>
      <c r="C55" s="53" t="s">
        <v>550</v>
      </c>
      <c r="D55" s="10" t="s">
        <v>184</v>
      </c>
      <c r="E55" s="53" t="s">
        <v>550</v>
      </c>
      <c r="F55" s="10" t="s">
        <v>184</v>
      </c>
      <c r="G55" s="53" t="s">
        <v>551</v>
      </c>
      <c r="H55" s="10" t="s">
        <v>184</v>
      </c>
      <c r="I55" s="53" t="s">
        <v>553</v>
      </c>
      <c r="J55" s="10" t="s">
        <v>184</v>
      </c>
      <c r="K55" s="53" t="s">
        <v>552</v>
      </c>
      <c r="L55" s="10" t="s">
        <v>184</v>
      </c>
      <c r="M55" s="53" t="s">
        <v>554</v>
      </c>
      <c r="N55" s="12" t="s">
        <v>184</v>
      </c>
      <c r="O55" s="12" t="s">
        <v>484</v>
      </c>
    </row>
    <row r="56" spans="1:15" x14ac:dyDescent="0.35">
      <c r="A56" s="23"/>
      <c r="B56" s="2"/>
      <c r="C56" s="14"/>
      <c r="D56" s="2"/>
      <c r="E56" s="14"/>
      <c r="F56" s="2"/>
      <c r="G56" s="14"/>
      <c r="H56" s="2"/>
      <c r="I56" s="14"/>
      <c r="J56" s="2"/>
      <c r="K56" s="14"/>
      <c r="L56" s="2"/>
      <c r="M56" s="14"/>
      <c r="N56" s="2"/>
    </row>
    <row r="57" spans="1:15" ht="188.5" x14ac:dyDescent="0.35">
      <c r="A57" s="52" t="s">
        <v>79</v>
      </c>
      <c r="B57" s="10" t="s">
        <v>184</v>
      </c>
      <c r="C57" s="53" t="s">
        <v>229</v>
      </c>
      <c r="D57" s="10" t="s">
        <v>184</v>
      </c>
      <c r="E57" s="53" t="s">
        <v>469</v>
      </c>
      <c r="F57" s="10" t="s">
        <v>184</v>
      </c>
      <c r="G57" s="53" t="s">
        <v>230</v>
      </c>
      <c r="H57" s="10" t="s">
        <v>184</v>
      </c>
      <c r="I57" s="53" t="s">
        <v>230</v>
      </c>
      <c r="J57" s="10" t="s">
        <v>184</v>
      </c>
      <c r="K57" s="53" t="s">
        <v>231</v>
      </c>
      <c r="L57" s="10" t="s">
        <v>184</v>
      </c>
      <c r="M57" s="53" t="s">
        <v>217</v>
      </c>
      <c r="N57" s="10" t="s">
        <v>184</v>
      </c>
      <c r="O57" s="12" t="s">
        <v>189</v>
      </c>
    </row>
    <row r="58" spans="1:15" ht="101.5" x14ac:dyDescent="0.35">
      <c r="A58" s="52" t="s">
        <v>79</v>
      </c>
      <c r="B58" s="10"/>
      <c r="C58" s="53"/>
      <c r="D58" s="10"/>
      <c r="E58" s="53" t="s">
        <v>475</v>
      </c>
      <c r="F58" s="10"/>
      <c r="G58" s="53" t="s">
        <v>470</v>
      </c>
      <c r="H58" s="10"/>
      <c r="I58" s="53"/>
      <c r="J58" s="10"/>
      <c r="K58" s="53"/>
      <c r="L58" s="10"/>
      <c r="M58" s="53"/>
      <c r="N58" s="10"/>
      <c r="O58" s="12"/>
    </row>
    <row r="60" spans="1:15" ht="246.5" x14ac:dyDescent="0.35">
      <c r="A60" s="22" t="s">
        <v>357</v>
      </c>
      <c r="B60" s="21" t="s">
        <v>184</v>
      </c>
      <c r="C60" s="17" t="s">
        <v>487</v>
      </c>
      <c r="D60" s="21" t="s">
        <v>184</v>
      </c>
      <c r="E60" s="17" t="s">
        <v>488</v>
      </c>
      <c r="F60" s="21" t="s">
        <v>184</v>
      </c>
      <c r="G60" s="17" t="s">
        <v>489</v>
      </c>
      <c r="H60" s="21" t="s">
        <v>184</v>
      </c>
      <c r="I60" s="17" t="s">
        <v>490</v>
      </c>
      <c r="J60" s="21" t="s">
        <v>184</v>
      </c>
      <c r="K60" s="17" t="s">
        <v>492</v>
      </c>
      <c r="L60" s="21" t="s">
        <v>184</v>
      </c>
      <c r="M60" s="17" t="s">
        <v>483</v>
      </c>
      <c r="N60" s="21" t="s">
        <v>184</v>
      </c>
      <c r="O60" s="12" t="s">
        <v>484</v>
      </c>
    </row>
    <row r="61" spans="1:15" ht="43.5" x14ac:dyDescent="0.35">
      <c r="A61" s="22" t="s">
        <v>357</v>
      </c>
      <c r="B61" s="21"/>
      <c r="C61" s="17"/>
      <c r="D61" s="21"/>
      <c r="E61" s="17"/>
      <c r="F61" s="21"/>
      <c r="G61" s="17"/>
      <c r="H61" s="21"/>
      <c r="I61" s="17" t="s">
        <v>491</v>
      </c>
      <c r="J61" s="21"/>
      <c r="K61" s="62"/>
      <c r="L61" s="59"/>
      <c r="M61" s="17"/>
      <c r="N61" s="21"/>
      <c r="O61" s="12"/>
    </row>
    <row r="62" spans="1:15" x14ac:dyDescent="0.35">
      <c r="A62" s="22"/>
      <c r="B62" s="18"/>
      <c r="C62" s="15"/>
      <c r="D62" s="18"/>
      <c r="E62" s="15"/>
      <c r="F62" s="18"/>
      <c r="G62" s="15"/>
      <c r="H62" s="18"/>
      <c r="I62" s="15"/>
      <c r="J62" s="18"/>
      <c r="K62" s="15"/>
      <c r="L62" s="18"/>
      <c r="M62" s="15"/>
      <c r="N62" s="18"/>
    </row>
    <row r="63" spans="1:15" ht="145" x14ac:dyDescent="0.35">
      <c r="A63" s="26" t="s">
        <v>239</v>
      </c>
      <c r="B63" s="10" t="s">
        <v>184</v>
      </c>
      <c r="C63" s="53" t="s">
        <v>512</v>
      </c>
      <c r="D63" s="10" t="s">
        <v>184</v>
      </c>
      <c r="E63" s="53" t="s">
        <v>513</v>
      </c>
      <c r="F63" s="29" t="s">
        <v>190</v>
      </c>
      <c r="G63" s="30" t="s">
        <v>514</v>
      </c>
      <c r="H63" s="10" t="s">
        <v>184</v>
      </c>
      <c r="I63" s="53" t="s">
        <v>515</v>
      </c>
      <c r="J63" s="27" t="s">
        <v>30</v>
      </c>
      <c r="K63" s="31" t="s">
        <v>516</v>
      </c>
      <c r="L63" s="21" t="s">
        <v>184</v>
      </c>
      <c r="M63" s="53" t="s">
        <v>517</v>
      </c>
      <c r="N63" s="10" t="s">
        <v>184</v>
      </c>
      <c r="O63" s="12" t="s">
        <v>484</v>
      </c>
    </row>
    <row r="64" spans="1:15" x14ac:dyDescent="0.35">
      <c r="A64" s="23"/>
      <c r="B64" s="11"/>
      <c r="C64" s="14"/>
      <c r="D64" s="11"/>
      <c r="E64" s="14"/>
      <c r="F64" s="11"/>
      <c r="G64" s="14"/>
      <c r="H64" s="11"/>
      <c r="I64" s="14"/>
      <c r="J64" s="11"/>
      <c r="K64" s="14"/>
      <c r="L64" s="11"/>
      <c r="M64" s="14"/>
      <c r="N64" s="11"/>
    </row>
    <row r="65" spans="1:15" ht="159.5" x14ac:dyDescent="0.35">
      <c r="A65" s="23" t="s">
        <v>352</v>
      </c>
      <c r="B65" s="10" t="s">
        <v>184</v>
      </c>
      <c r="C65" s="53" t="s">
        <v>527</v>
      </c>
      <c r="D65" s="10" t="s">
        <v>184</v>
      </c>
      <c r="E65" s="53" t="s">
        <v>527</v>
      </c>
      <c r="F65" s="10" t="s">
        <v>184</v>
      </c>
      <c r="G65" s="53" t="s">
        <v>211</v>
      </c>
      <c r="H65" s="10" t="s">
        <v>184</v>
      </c>
      <c r="I65" s="53" t="s">
        <v>528</v>
      </c>
      <c r="J65" s="29" t="s">
        <v>190</v>
      </c>
      <c r="K65" s="30" t="s">
        <v>529</v>
      </c>
      <c r="L65" s="10" t="s">
        <v>184</v>
      </c>
      <c r="M65" s="53" t="s">
        <v>483</v>
      </c>
      <c r="N65" s="10" t="s">
        <v>184</v>
      </c>
      <c r="O65" s="12" t="s">
        <v>484</v>
      </c>
    </row>
    <row r="66" spans="1:15" x14ac:dyDescent="0.35">
      <c r="A66" s="23"/>
      <c r="B66" s="11"/>
      <c r="C66" s="14"/>
      <c r="D66" s="11"/>
      <c r="E66" s="14"/>
      <c r="F66" s="11"/>
      <c r="G66" s="14"/>
      <c r="H66" s="11"/>
      <c r="I66" s="14"/>
      <c r="J66" s="11"/>
      <c r="K66" s="14"/>
      <c r="L66" s="11"/>
      <c r="M66" s="14"/>
      <c r="N66" s="11"/>
    </row>
    <row r="67" spans="1:15" ht="159.5" x14ac:dyDescent="0.35">
      <c r="A67" s="23" t="s">
        <v>361</v>
      </c>
      <c r="B67" s="10" t="s">
        <v>184</v>
      </c>
      <c r="C67" s="53" t="s">
        <v>547</v>
      </c>
      <c r="D67" s="10" t="s">
        <v>507</v>
      </c>
      <c r="E67" s="53" t="s">
        <v>547</v>
      </c>
      <c r="F67" s="10" t="s">
        <v>184</v>
      </c>
      <c r="G67" s="53" t="s">
        <v>548</v>
      </c>
      <c r="H67" s="10" t="s">
        <v>184</v>
      </c>
      <c r="I67" s="53" t="s">
        <v>548</v>
      </c>
      <c r="J67" s="10" t="s">
        <v>184</v>
      </c>
      <c r="K67" s="53" t="s">
        <v>549</v>
      </c>
      <c r="L67" s="10" t="s">
        <v>184</v>
      </c>
      <c r="M67" s="53" t="s">
        <v>483</v>
      </c>
      <c r="N67" s="10" t="s">
        <v>184</v>
      </c>
      <c r="O67" s="12" t="s">
        <v>484</v>
      </c>
    </row>
    <row r="68" spans="1:15" x14ac:dyDescent="0.35">
      <c r="A68" s="23"/>
      <c r="B68" s="11"/>
      <c r="C68" s="14"/>
      <c r="D68" s="11"/>
      <c r="E68" s="14"/>
      <c r="F68" s="11"/>
      <c r="G68" s="14"/>
      <c r="H68" s="11"/>
      <c r="I68" s="14"/>
      <c r="J68" s="11"/>
      <c r="K68" s="14"/>
      <c r="L68" s="11"/>
      <c r="M68" s="14"/>
      <c r="N68" s="11"/>
    </row>
    <row r="69" spans="1:15" ht="116" x14ac:dyDescent="0.35">
      <c r="A69" s="25" t="s">
        <v>784</v>
      </c>
      <c r="B69" s="12" t="s">
        <v>184</v>
      </c>
      <c r="C69" s="53" t="s">
        <v>789</v>
      </c>
      <c r="D69" s="12" t="s">
        <v>184</v>
      </c>
      <c r="E69" s="53" t="s">
        <v>789</v>
      </c>
      <c r="F69" s="12" t="s">
        <v>184</v>
      </c>
      <c r="G69" s="53" t="s">
        <v>790</v>
      </c>
      <c r="H69" s="12" t="s">
        <v>184</v>
      </c>
      <c r="I69" s="53" t="s">
        <v>790</v>
      </c>
      <c r="J69" s="12" t="s">
        <v>184</v>
      </c>
      <c r="K69" s="53" t="s">
        <v>572</v>
      </c>
      <c r="L69" s="48" t="s">
        <v>190</v>
      </c>
      <c r="M69" s="30" t="s">
        <v>570</v>
      </c>
      <c r="N69" s="12" t="s">
        <v>184</v>
      </c>
      <c r="O69" s="53" t="s">
        <v>189</v>
      </c>
    </row>
    <row r="70" spans="1:15" x14ac:dyDescent="0.35">
      <c r="A70" s="25"/>
      <c r="B70" s="2"/>
      <c r="C70" s="14"/>
      <c r="D70" s="2"/>
      <c r="E70" s="14"/>
      <c r="F70" s="2"/>
      <c r="G70" s="14"/>
      <c r="H70" s="2"/>
      <c r="I70" s="14"/>
      <c r="J70" s="2"/>
      <c r="K70" s="14"/>
      <c r="L70" s="2"/>
      <c r="M70" s="14"/>
      <c r="N70" s="2"/>
    </row>
    <row r="71" spans="1:15" ht="174" x14ac:dyDescent="0.35">
      <c r="A71" s="22" t="s">
        <v>355</v>
      </c>
      <c r="B71" s="21" t="s">
        <v>184</v>
      </c>
      <c r="C71" s="17" t="s">
        <v>493</v>
      </c>
      <c r="D71" s="21" t="s">
        <v>184</v>
      </c>
      <c r="E71" s="17" t="s">
        <v>494</v>
      </c>
      <c r="F71" s="21" t="s">
        <v>184</v>
      </c>
      <c r="G71" s="17" t="s">
        <v>495</v>
      </c>
      <c r="H71" s="21" t="s">
        <v>184</v>
      </c>
      <c r="I71" s="17" t="s">
        <v>496</v>
      </c>
      <c r="J71" s="21" t="s">
        <v>184</v>
      </c>
      <c r="K71" s="17" t="s">
        <v>497</v>
      </c>
      <c r="L71" s="21" t="s">
        <v>184</v>
      </c>
      <c r="M71" s="17" t="s">
        <v>483</v>
      </c>
      <c r="N71" s="21" t="s">
        <v>184</v>
      </c>
      <c r="O71" s="12" t="s">
        <v>484</v>
      </c>
    </row>
    <row r="72" spans="1:15" ht="58" x14ac:dyDescent="0.35">
      <c r="A72" s="22" t="s">
        <v>355</v>
      </c>
      <c r="B72" s="21"/>
      <c r="C72" s="17"/>
      <c r="D72" s="21"/>
      <c r="E72" s="17"/>
      <c r="F72" s="21"/>
      <c r="G72" s="17"/>
      <c r="H72" s="21"/>
      <c r="I72" s="17" t="s">
        <v>498</v>
      </c>
      <c r="J72" s="21"/>
      <c r="K72" s="17" t="s">
        <v>499</v>
      </c>
      <c r="L72" s="21"/>
      <c r="M72" s="17"/>
      <c r="N72" s="21"/>
      <c r="O72" s="12"/>
    </row>
    <row r="73" spans="1:15" x14ac:dyDescent="0.35">
      <c r="A73" s="22"/>
      <c r="B73" s="18"/>
      <c r="C73" s="15"/>
      <c r="D73" s="18"/>
      <c r="E73" s="15"/>
      <c r="F73" s="18"/>
      <c r="G73" s="15"/>
      <c r="H73" s="18"/>
      <c r="I73" s="15"/>
      <c r="J73" s="18"/>
      <c r="K73" s="15"/>
      <c r="L73" s="18"/>
      <c r="M73" s="15"/>
      <c r="N73" s="18"/>
    </row>
    <row r="74" spans="1:15" ht="174" x14ac:dyDescent="0.35">
      <c r="A74" s="22" t="s">
        <v>411</v>
      </c>
      <c r="B74" s="32" t="s">
        <v>30</v>
      </c>
      <c r="C74" s="28" t="s">
        <v>500</v>
      </c>
      <c r="D74" s="32" t="s">
        <v>30</v>
      </c>
      <c r="E74" s="28" t="s">
        <v>501</v>
      </c>
      <c r="F74" s="21" t="s">
        <v>184</v>
      </c>
      <c r="G74" s="17" t="s">
        <v>502</v>
      </c>
      <c r="H74" s="21" t="s">
        <v>184</v>
      </c>
      <c r="I74" s="17" t="s">
        <v>504</v>
      </c>
      <c r="J74" s="21" t="s">
        <v>184</v>
      </c>
      <c r="K74" s="17" t="s">
        <v>503</v>
      </c>
      <c r="L74" s="21" t="s">
        <v>184</v>
      </c>
      <c r="M74" s="17" t="s">
        <v>483</v>
      </c>
      <c r="N74" s="21" t="s">
        <v>184</v>
      </c>
      <c r="O74" s="12" t="s">
        <v>484</v>
      </c>
    </row>
    <row r="75" spans="1:15" ht="43.5" x14ac:dyDescent="0.35">
      <c r="A75" s="22" t="s">
        <v>411</v>
      </c>
      <c r="B75" s="32"/>
      <c r="C75" s="28" t="s">
        <v>505</v>
      </c>
      <c r="D75" s="32"/>
      <c r="E75" s="28" t="s">
        <v>505</v>
      </c>
      <c r="F75" s="21"/>
      <c r="G75" s="17" t="s">
        <v>504</v>
      </c>
      <c r="H75" s="59"/>
      <c r="I75" s="62"/>
      <c r="J75" s="21"/>
      <c r="K75" s="17"/>
      <c r="L75" s="21"/>
      <c r="M75" s="17"/>
      <c r="N75" s="21"/>
      <c r="O75" s="12"/>
    </row>
    <row r="76" spans="1:15" x14ac:dyDescent="0.35">
      <c r="A76" s="22"/>
      <c r="B76" s="18"/>
      <c r="C76" s="15"/>
      <c r="D76" s="18"/>
      <c r="E76" s="15"/>
      <c r="F76" s="18"/>
      <c r="G76" s="15"/>
      <c r="H76" s="18"/>
      <c r="I76" s="15"/>
      <c r="J76" s="18"/>
      <c r="K76" s="15"/>
      <c r="L76" s="18"/>
      <c r="M76" s="15"/>
      <c r="N76" s="18"/>
    </row>
    <row r="77" spans="1:15" ht="145" x14ac:dyDescent="0.35">
      <c r="A77" s="24" t="s">
        <v>294</v>
      </c>
      <c r="B77" s="10" t="s">
        <v>184</v>
      </c>
      <c r="C77" s="53" t="s">
        <v>506</v>
      </c>
      <c r="D77" s="10" t="s">
        <v>507</v>
      </c>
      <c r="E77" s="53" t="s">
        <v>508</v>
      </c>
      <c r="F77" s="10" t="s">
        <v>507</v>
      </c>
      <c r="G77" s="53" t="s">
        <v>509</v>
      </c>
      <c r="H77" s="10" t="s">
        <v>507</v>
      </c>
      <c r="I77" s="53" t="s">
        <v>509</v>
      </c>
      <c r="J77" s="10" t="s">
        <v>184</v>
      </c>
      <c r="K77" s="53" t="s">
        <v>510</v>
      </c>
      <c r="L77" s="10" t="s">
        <v>184</v>
      </c>
      <c r="M77" s="53" t="s">
        <v>483</v>
      </c>
      <c r="N77" s="10" t="s">
        <v>184</v>
      </c>
      <c r="O77" s="12" t="s">
        <v>484</v>
      </c>
    </row>
    <row r="78" spans="1:15" ht="58" x14ac:dyDescent="0.35">
      <c r="A78" s="24" t="s">
        <v>294</v>
      </c>
      <c r="B78" s="10"/>
      <c r="C78" s="53"/>
      <c r="D78" s="10"/>
      <c r="E78" s="53"/>
      <c r="F78" s="10"/>
      <c r="G78" s="53"/>
      <c r="H78" s="10"/>
      <c r="I78" s="53"/>
      <c r="J78" s="10"/>
      <c r="K78" s="53" t="s">
        <v>511</v>
      </c>
      <c r="L78" s="10"/>
      <c r="M78" s="53"/>
      <c r="N78" s="10"/>
      <c r="O78" s="12"/>
    </row>
    <row r="79" spans="1:15" x14ac:dyDescent="0.35">
      <c r="A79" s="23"/>
      <c r="B79" s="11"/>
      <c r="C79" s="14"/>
      <c r="D79" s="11"/>
      <c r="E79" s="14"/>
      <c r="F79" s="11"/>
      <c r="G79" s="14"/>
      <c r="H79" s="11"/>
      <c r="I79" s="14"/>
      <c r="J79" s="11"/>
      <c r="K79" s="14"/>
      <c r="L79" s="11"/>
      <c r="M79" s="14"/>
      <c r="N79" s="11"/>
    </row>
    <row r="80" spans="1:15" ht="232" x14ac:dyDescent="0.35">
      <c r="A80" s="23" t="s">
        <v>251</v>
      </c>
      <c r="B80" s="10" t="s">
        <v>184</v>
      </c>
      <c r="C80" s="53" t="s">
        <v>530</v>
      </c>
      <c r="D80" s="27" t="s">
        <v>30</v>
      </c>
      <c r="E80" s="31" t="s">
        <v>531</v>
      </c>
      <c r="F80" s="10" t="s">
        <v>184</v>
      </c>
      <c r="G80" s="53" t="s">
        <v>532</v>
      </c>
      <c r="H80" s="10" t="s">
        <v>184</v>
      </c>
      <c r="I80" s="53" t="s">
        <v>211</v>
      </c>
      <c r="J80" s="10" t="s">
        <v>184</v>
      </c>
      <c r="K80" s="53" t="s">
        <v>578</v>
      </c>
      <c r="L80" s="10" t="s">
        <v>184</v>
      </c>
      <c r="M80" s="53" t="s">
        <v>217</v>
      </c>
      <c r="N80" s="10" t="s">
        <v>184</v>
      </c>
      <c r="O80" s="12" t="s">
        <v>484</v>
      </c>
    </row>
    <row r="81" spans="1:15" ht="43.5" x14ac:dyDescent="0.35">
      <c r="A81" s="23" t="s">
        <v>251</v>
      </c>
      <c r="B81" s="10"/>
      <c r="C81" s="53"/>
      <c r="D81" s="27"/>
      <c r="E81" s="31"/>
      <c r="F81" s="10"/>
      <c r="G81" s="53" t="s">
        <v>211</v>
      </c>
      <c r="H81" s="59"/>
      <c r="I81" s="62"/>
      <c r="J81" s="10"/>
      <c r="K81" s="53" t="s">
        <v>577</v>
      </c>
      <c r="L81" s="59"/>
      <c r="M81" s="62"/>
      <c r="N81" s="10"/>
      <c r="O81" s="12"/>
    </row>
    <row r="82" spans="1:15" x14ac:dyDescent="0.35">
      <c r="A82" s="23"/>
      <c r="B82" s="11"/>
      <c r="C82" s="14"/>
      <c r="D82" s="11"/>
      <c r="E82" s="14"/>
      <c r="F82" s="11"/>
      <c r="G82" s="14"/>
      <c r="H82" s="11"/>
      <c r="I82" s="14"/>
      <c r="J82" s="11"/>
      <c r="K82" s="14"/>
      <c r="L82" s="11"/>
      <c r="M82" s="14"/>
      <c r="N82" s="11"/>
    </row>
    <row r="83" spans="1:15" ht="362.5" x14ac:dyDescent="0.35">
      <c r="A83" s="24" t="s">
        <v>359</v>
      </c>
      <c r="B83" s="10" t="s">
        <v>184</v>
      </c>
      <c r="C83" s="9" t="s">
        <v>533</v>
      </c>
      <c r="D83" s="10" t="s">
        <v>184</v>
      </c>
      <c r="E83" s="9" t="s">
        <v>533</v>
      </c>
      <c r="F83" s="10" t="s">
        <v>184</v>
      </c>
      <c r="G83" s="53" t="s">
        <v>534</v>
      </c>
      <c r="H83" s="10" t="s">
        <v>184</v>
      </c>
      <c r="I83" s="53" t="s">
        <v>534</v>
      </c>
      <c r="J83" s="10" t="s">
        <v>184</v>
      </c>
      <c r="K83" s="53" t="s">
        <v>535</v>
      </c>
      <c r="L83" s="10" t="s">
        <v>184</v>
      </c>
      <c r="M83" s="53" t="s">
        <v>483</v>
      </c>
      <c r="N83" s="10" t="s">
        <v>184</v>
      </c>
      <c r="O83" s="12" t="s">
        <v>484</v>
      </c>
    </row>
    <row r="84" spans="1:15" x14ac:dyDescent="0.35">
      <c r="A84" s="24"/>
      <c r="B84" s="11"/>
      <c r="C84" s="2"/>
      <c r="D84" s="11"/>
      <c r="E84" s="2"/>
      <c r="F84" s="11"/>
      <c r="G84" s="14"/>
      <c r="H84" s="11"/>
      <c r="I84" s="14"/>
      <c r="J84" s="11"/>
      <c r="K84" s="14"/>
      <c r="L84" s="11"/>
      <c r="M84" s="14"/>
      <c r="N84" s="11"/>
    </row>
    <row r="85" spans="1:15" ht="188.5" x14ac:dyDescent="0.35">
      <c r="A85" s="23" t="s">
        <v>362</v>
      </c>
      <c r="B85" s="9" t="s">
        <v>184</v>
      </c>
      <c r="C85" s="53" t="s">
        <v>555</v>
      </c>
      <c r="D85" s="9" t="s">
        <v>184</v>
      </c>
      <c r="E85" s="53" t="s">
        <v>555</v>
      </c>
      <c r="F85" s="9" t="s">
        <v>184</v>
      </c>
      <c r="G85" s="53" t="s">
        <v>556</v>
      </c>
      <c r="H85" s="9" t="s">
        <v>184</v>
      </c>
      <c r="I85" s="53" t="s">
        <v>557</v>
      </c>
      <c r="J85" s="34" t="s">
        <v>30</v>
      </c>
      <c r="K85" s="31" t="s">
        <v>558</v>
      </c>
      <c r="L85" s="9" t="s">
        <v>184</v>
      </c>
      <c r="M85" s="53" t="s">
        <v>483</v>
      </c>
      <c r="N85" s="9" t="s">
        <v>184</v>
      </c>
      <c r="O85" s="12" t="s">
        <v>484</v>
      </c>
    </row>
    <row r="86" spans="1:15" ht="58" x14ac:dyDescent="0.35">
      <c r="A86" s="23" t="s">
        <v>362</v>
      </c>
      <c r="B86" s="9"/>
      <c r="C86" s="53"/>
      <c r="D86" s="9"/>
      <c r="E86" s="53"/>
      <c r="F86" s="9"/>
      <c r="G86" s="53"/>
      <c r="H86" s="9"/>
      <c r="I86" s="53"/>
      <c r="J86" s="34"/>
      <c r="K86" s="31" t="s">
        <v>559</v>
      </c>
      <c r="L86" s="9"/>
      <c r="M86" s="53"/>
      <c r="N86" s="9"/>
      <c r="O86" s="12"/>
    </row>
    <row r="87" spans="1:15" x14ac:dyDescent="0.35">
      <c r="A87" s="23"/>
      <c r="B87" s="20"/>
      <c r="C87" s="19"/>
      <c r="D87" s="20"/>
      <c r="E87" s="19"/>
      <c r="F87" s="20"/>
      <c r="G87" s="19"/>
      <c r="H87" s="20"/>
      <c r="I87" s="19"/>
      <c r="J87" s="20"/>
      <c r="K87" s="19"/>
      <c r="L87" s="20"/>
      <c r="M87" s="19"/>
      <c r="N87" s="20"/>
      <c r="O87" s="20"/>
    </row>
    <row r="88" spans="1:15" x14ac:dyDescent="0.35">
      <c r="A88" s="23"/>
      <c r="B88" s="2"/>
      <c r="C88" s="14"/>
      <c r="D88" s="2"/>
      <c r="E88" s="14"/>
      <c r="F88" s="2"/>
      <c r="G88" s="14"/>
      <c r="H88" s="2"/>
      <c r="I88" s="14"/>
      <c r="J88" s="2"/>
      <c r="K88" s="14"/>
      <c r="L88" s="2"/>
      <c r="M88" s="14"/>
      <c r="N88" s="2"/>
    </row>
    <row r="89" spans="1:15" ht="159.5" x14ac:dyDescent="0.35">
      <c r="A89" s="23" t="s">
        <v>741</v>
      </c>
      <c r="B89" s="9" t="s">
        <v>184</v>
      </c>
      <c r="C89" s="53" t="s">
        <v>560</v>
      </c>
      <c r="D89" s="9" t="s">
        <v>184</v>
      </c>
      <c r="E89" s="53" t="s">
        <v>561</v>
      </c>
      <c r="F89" s="9" t="s">
        <v>184</v>
      </c>
      <c r="G89" s="53" t="s">
        <v>562</v>
      </c>
      <c r="H89" s="9" t="s">
        <v>184</v>
      </c>
      <c r="I89" s="53" t="s">
        <v>563</v>
      </c>
      <c r="J89" s="27" t="s">
        <v>30</v>
      </c>
      <c r="K89" s="31" t="s">
        <v>565</v>
      </c>
      <c r="L89" s="9" t="s">
        <v>184</v>
      </c>
      <c r="M89" s="53" t="s">
        <v>564</v>
      </c>
      <c r="N89" s="9" t="s">
        <v>184</v>
      </c>
      <c r="O89" s="12" t="s">
        <v>484</v>
      </c>
    </row>
    <row r="90" spans="1:15" x14ac:dyDescent="0.35">
      <c r="A90" s="23"/>
      <c r="B90" s="2"/>
      <c r="C90" s="14"/>
      <c r="D90" s="2"/>
      <c r="E90" s="14"/>
      <c r="F90" s="2"/>
      <c r="G90" s="14"/>
      <c r="H90" s="2"/>
      <c r="I90" s="14"/>
      <c r="J90" s="2"/>
      <c r="K90" s="14"/>
      <c r="L90" s="2"/>
      <c r="M90" s="14"/>
      <c r="N90" s="2"/>
    </row>
    <row r="91" spans="1:15" ht="145" x14ac:dyDescent="0.35">
      <c r="A91" s="23" t="s">
        <v>353</v>
      </c>
      <c r="B91" s="9" t="s">
        <v>184</v>
      </c>
      <c r="C91" s="53" t="s">
        <v>566</v>
      </c>
      <c r="D91" s="9" t="s">
        <v>184</v>
      </c>
      <c r="E91" s="53" t="s">
        <v>566</v>
      </c>
      <c r="F91" s="9" t="s">
        <v>184</v>
      </c>
      <c r="G91" s="53" t="s">
        <v>567</v>
      </c>
      <c r="H91" s="9" t="s">
        <v>184</v>
      </c>
      <c r="I91" s="53" t="s">
        <v>568</v>
      </c>
      <c r="J91" s="12" t="s">
        <v>184</v>
      </c>
      <c r="K91" s="53" t="s">
        <v>569</v>
      </c>
      <c r="L91" s="48" t="s">
        <v>190</v>
      </c>
      <c r="M91" s="30" t="s">
        <v>570</v>
      </c>
      <c r="N91" s="9" t="s">
        <v>184</v>
      </c>
      <c r="O91" s="12" t="s">
        <v>484</v>
      </c>
    </row>
    <row r="92" spans="1:15" ht="29" x14ac:dyDescent="0.35">
      <c r="A92" s="23" t="s">
        <v>353</v>
      </c>
      <c r="B92" s="12"/>
      <c r="C92" s="53"/>
      <c r="D92" s="12"/>
      <c r="E92" s="53"/>
      <c r="F92" s="12"/>
      <c r="G92" s="53" t="s">
        <v>571</v>
      </c>
      <c r="H92" s="9"/>
      <c r="I92" s="53" t="s">
        <v>211</v>
      </c>
      <c r="J92" s="59"/>
      <c r="K92" s="62"/>
      <c r="L92" s="60"/>
      <c r="M92" s="64"/>
      <c r="N92" s="12"/>
      <c r="O92" s="12"/>
    </row>
    <row r="93" spans="1:15" x14ac:dyDescent="0.35">
      <c r="A93" s="23"/>
      <c r="B93" s="2"/>
      <c r="C93" s="14"/>
      <c r="D93" s="2"/>
      <c r="E93" s="14"/>
      <c r="F93" s="2"/>
      <c r="G93" s="14"/>
      <c r="H93" s="2"/>
      <c r="I93" s="14"/>
      <c r="J93" s="2"/>
      <c r="K93" s="14"/>
      <c r="L93" s="2"/>
      <c r="M93" s="14"/>
      <c r="N93" s="2"/>
    </row>
    <row r="94" spans="1:15" ht="217.5" x14ac:dyDescent="0.35">
      <c r="A94" s="23" t="s">
        <v>243</v>
      </c>
      <c r="B94" s="10" t="s">
        <v>184</v>
      </c>
      <c r="C94" s="53" t="s">
        <v>518</v>
      </c>
      <c r="D94" s="10" t="s">
        <v>184</v>
      </c>
      <c r="E94" s="53" t="s">
        <v>519</v>
      </c>
      <c r="F94" s="10" t="s">
        <v>184</v>
      </c>
      <c r="G94" s="53" t="s">
        <v>520</v>
      </c>
      <c r="H94" s="10" t="s">
        <v>184</v>
      </c>
      <c r="I94" s="53" t="s">
        <v>521</v>
      </c>
      <c r="J94" s="9" t="s">
        <v>184</v>
      </c>
      <c r="K94" s="10" t="s">
        <v>522</v>
      </c>
      <c r="L94" s="27" t="s">
        <v>30</v>
      </c>
      <c r="M94" s="31" t="s">
        <v>526</v>
      </c>
      <c r="N94" s="10" t="s">
        <v>184</v>
      </c>
      <c r="O94" s="12" t="s">
        <v>189</v>
      </c>
    </row>
    <row r="95" spans="1:15" ht="159.5" x14ac:dyDescent="0.35">
      <c r="A95" s="23" t="s">
        <v>243</v>
      </c>
      <c r="B95" s="10"/>
      <c r="C95" s="53" t="s">
        <v>524</v>
      </c>
      <c r="D95" s="10"/>
      <c r="E95" s="53" t="s">
        <v>524</v>
      </c>
      <c r="F95" s="10"/>
      <c r="G95" s="53"/>
      <c r="H95" s="10"/>
      <c r="I95" s="53" t="s">
        <v>525</v>
      </c>
      <c r="J95" s="9"/>
      <c r="K95" s="12"/>
      <c r="L95" s="27"/>
      <c r="M95" s="31" t="s">
        <v>523</v>
      </c>
      <c r="N95" s="10"/>
      <c r="O95" s="12"/>
    </row>
    <row r="96" spans="1:15" x14ac:dyDescent="0.35">
      <c r="A96" s="23"/>
      <c r="B96" s="11"/>
      <c r="C96" s="14"/>
      <c r="D96" s="11"/>
      <c r="E96" s="14"/>
      <c r="F96" s="11"/>
      <c r="G96" s="14"/>
      <c r="H96" s="11"/>
      <c r="I96" s="14"/>
      <c r="J96" s="11"/>
      <c r="K96" s="14"/>
      <c r="L96" s="11"/>
      <c r="M96" s="14"/>
      <c r="N96" s="11"/>
    </row>
    <row r="97" spans="1:15" ht="275.5" x14ac:dyDescent="0.35">
      <c r="A97" s="24" t="s">
        <v>259</v>
      </c>
      <c r="B97" s="10" t="s">
        <v>184</v>
      </c>
      <c r="C97" s="53" t="s">
        <v>536</v>
      </c>
      <c r="D97" s="10" t="s">
        <v>184</v>
      </c>
      <c r="E97" s="53" t="s">
        <v>536</v>
      </c>
      <c r="F97" s="10" t="s">
        <v>184</v>
      </c>
      <c r="G97" s="53" t="s">
        <v>537</v>
      </c>
      <c r="H97" s="10" t="s">
        <v>184</v>
      </c>
      <c r="I97" s="53" t="s">
        <v>538</v>
      </c>
      <c r="J97" s="29" t="s">
        <v>190</v>
      </c>
      <c r="K97" s="30" t="s">
        <v>539</v>
      </c>
      <c r="L97" s="10" t="s">
        <v>184</v>
      </c>
      <c r="M97" s="53" t="s">
        <v>483</v>
      </c>
      <c r="N97" s="10" t="s">
        <v>184</v>
      </c>
      <c r="O97" s="12" t="s">
        <v>189</v>
      </c>
    </row>
    <row r="98" spans="1:15" ht="101.5" x14ac:dyDescent="0.35">
      <c r="A98" s="24" t="s">
        <v>259</v>
      </c>
      <c r="B98" s="10"/>
      <c r="C98" s="53"/>
      <c r="D98" s="10"/>
      <c r="E98" s="53"/>
      <c r="F98" s="10"/>
      <c r="G98" s="53" t="s">
        <v>540</v>
      </c>
      <c r="H98" s="10"/>
      <c r="I98" s="53" t="s">
        <v>540</v>
      </c>
      <c r="J98" s="60"/>
      <c r="K98" s="64"/>
      <c r="L98" s="10"/>
      <c r="M98" s="53"/>
      <c r="N98" s="10"/>
      <c r="O98" s="12"/>
    </row>
    <row r="99" spans="1:15" x14ac:dyDescent="0.35">
      <c r="A99" s="24"/>
      <c r="B99" s="11"/>
      <c r="C99" s="14"/>
      <c r="D99" s="11"/>
      <c r="E99" s="14"/>
      <c r="F99" s="11"/>
      <c r="G99" s="14"/>
      <c r="H99" s="11"/>
      <c r="I99" s="14"/>
      <c r="J99" s="11"/>
      <c r="K99" s="14"/>
      <c r="L99" s="11"/>
      <c r="M99" s="14"/>
      <c r="N99" s="11"/>
    </row>
    <row r="100" spans="1:15" ht="174" x14ac:dyDescent="0.35">
      <c r="A100" s="23" t="s">
        <v>360</v>
      </c>
      <c r="B100" s="10" t="s">
        <v>184</v>
      </c>
      <c r="C100" s="53" t="s">
        <v>541</v>
      </c>
      <c r="D100" s="10" t="s">
        <v>184</v>
      </c>
      <c r="E100" s="53" t="s">
        <v>542</v>
      </c>
      <c r="F100" s="10" t="s">
        <v>184</v>
      </c>
      <c r="G100" s="53" t="s">
        <v>543</v>
      </c>
      <c r="H100" s="10" t="s">
        <v>184</v>
      </c>
      <c r="I100" s="53" t="s">
        <v>544</v>
      </c>
      <c r="J100" s="29" t="s">
        <v>190</v>
      </c>
      <c r="K100" s="30" t="s">
        <v>545</v>
      </c>
      <c r="L100" s="10" t="s">
        <v>184</v>
      </c>
      <c r="M100" s="53" t="s">
        <v>483</v>
      </c>
      <c r="N100" s="10" t="s">
        <v>184</v>
      </c>
      <c r="O100" s="12" t="s">
        <v>484</v>
      </c>
    </row>
    <row r="101" spans="1:15" ht="29" x14ac:dyDescent="0.35">
      <c r="A101" s="23" t="s">
        <v>360</v>
      </c>
      <c r="B101" s="10"/>
      <c r="C101" s="53"/>
      <c r="D101" s="10"/>
      <c r="E101" s="53"/>
      <c r="F101" s="10"/>
      <c r="G101" s="53" t="s">
        <v>546</v>
      </c>
      <c r="H101" s="10"/>
      <c r="I101" s="53" t="s">
        <v>211</v>
      </c>
      <c r="J101" s="60"/>
      <c r="K101" s="64"/>
      <c r="L101" s="10"/>
      <c r="M101" s="53"/>
      <c r="N101" s="10"/>
      <c r="O101" s="12"/>
    </row>
    <row r="102" spans="1:15" x14ac:dyDescent="0.35">
      <c r="A102" s="23"/>
      <c r="B102" s="11"/>
      <c r="C102" s="14"/>
      <c r="D102" s="11"/>
      <c r="E102" s="14"/>
      <c r="F102" s="11"/>
      <c r="G102" s="14"/>
      <c r="H102" s="11"/>
      <c r="I102" s="14"/>
      <c r="J102" s="11"/>
      <c r="K102" s="14"/>
      <c r="L102" s="11"/>
      <c r="M102" s="14"/>
      <c r="N102" s="11"/>
    </row>
    <row r="103" spans="1:15" ht="145" x14ac:dyDescent="0.35">
      <c r="A103" s="25" t="s">
        <v>442</v>
      </c>
      <c r="B103" s="35" t="s">
        <v>30</v>
      </c>
      <c r="C103" s="31" t="s">
        <v>573</v>
      </c>
      <c r="D103" s="35" t="s">
        <v>30</v>
      </c>
      <c r="E103" s="31" t="s">
        <v>574</v>
      </c>
      <c r="F103" s="12" t="s">
        <v>184</v>
      </c>
      <c r="G103" s="53" t="s">
        <v>575</v>
      </c>
      <c r="H103" s="12" t="s">
        <v>184</v>
      </c>
      <c r="I103" s="53" t="s">
        <v>211</v>
      </c>
      <c r="J103" s="35" t="s">
        <v>576</v>
      </c>
      <c r="K103" s="31" t="s">
        <v>449</v>
      </c>
      <c r="L103" s="12" t="s">
        <v>184</v>
      </c>
      <c r="M103" s="53" t="s">
        <v>217</v>
      </c>
      <c r="N103" s="12" t="s">
        <v>184</v>
      </c>
      <c r="O103" s="12" t="s">
        <v>189</v>
      </c>
    </row>
    <row r="104" spans="1:15" x14ac:dyDescent="0.35">
      <c r="A104" s="25"/>
      <c r="B104" s="2"/>
      <c r="C104" s="14"/>
      <c r="D104" s="2"/>
      <c r="E104" s="14"/>
      <c r="F104" s="2"/>
      <c r="G104" s="14"/>
      <c r="J104" s="2"/>
      <c r="K104" s="14"/>
    </row>
    <row r="105" spans="1:15" ht="232" x14ac:dyDescent="0.35">
      <c r="A105" s="25" t="s">
        <v>742</v>
      </c>
      <c r="B105" s="12" t="s">
        <v>184</v>
      </c>
      <c r="C105" s="39" t="s">
        <v>728</v>
      </c>
      <c r="D105" s="12" t="s">
        <v>184</v>
      </c>
      <c r="E105" s="37" t="s">
        <v>728</v>
      </c>
      <c r="F105" s="12" t="s">
        <v>184</v>
      </c>
      <c r="G105" s="37" t="s">
        <v>729</v>
      </c>
      <c r="H105" s="12" t="s">
        <v>184</v>
      </c>
      <c r="I105" s="37" t="s">
        <v>729</v>
      </c>
      <c r="J105" s="65" t="s">
        <v>190</v>
      </c>
      <c r="K105" s="42" t="s">
        <v>730</v>
      </c>
      <c r="L105" s="40" t="s">
        <v>30</v>
      </c>
      <c r="M105" s="41" t="s">
        <v>732</v>
      </c>
      <c r="N105" s="12" t="s">
        <v>184</v>
      </c>
      <c r="O105" s="12" t="s">
        <v>189</v>
      </c>
    </row>
    <row r="106" spans="1:15" ht="58" x14ac:dyDescent="0.35">
      <c r="A106" s="25" t="s">
        <v>742</v>
      </c>
      <c r="B106" s="66"/>
      <c r="C106" s="36"/>
      <c r="D106" s="67"/>
      <c r="E106" s="68"/>
      <c r="F106" s="44"/>
      <c r="G106" s="69"/>
      <c r="H106" s="44"/>
      <c r="I106" s="69"/>
      <c r="J106" s="70"/>
      <c r="K106" s="43" t="s">
        <v>731</v>
      </c>
      <c r="L106" s="71"/>
      <c r="M106" s="72"/>
      <c r="N106" s="44"/>
      <c r="O106" s="44"/>
    </row>
    <row r="108" spans="1:15" ht="246.5" x14ac:dyDescent="0.35">
      <c r="A108" s="50" t="s">
        <v>709</v>
      </c>
      <c r="B108" s="12" t="s">
        <v>184</v>
      </c>
      <c r="C108" s="37" t="s">
        <v>733</v>
      </c>
      <c r="D108" s="12" t="s">
        <v>184</v>
      </c>
      <c r="E108" s="37" t="s">
        <v>733</v>
      </c>
      <c r="F108" s="12" t="s">
        <v>184</v>
      </c>
      <c r="G108" s="37" t="s">
        <v>734</v>
      </c>
      <c r="H108" s="12" t="s">
        <v>184</v>
      </c>
      <c r="I108" s="37" t="s">
        <v>734</v>
      </c>
      <c r="J108" s="73" t="s">
        <v>30</v>
      </c>
      <c r="K108" s="45" t="s">
        <v>721</v>
      </c>
      <c r="L108" s="12" t="s">
        <v>184</v>
      </c>
      <c r="M108" s="38" t="s">
        <v>737</v>
      </c>
      <c r="N108" s="12" t="s">
        <v>184</v>
      </c>
      <c r="O108" s="12" t="s">
        <v>189</v>
      </c>
    </row>
    <row r="110" spans="1:15" ht="145" x14ac:dyDescent="0.35">
      <c r="A110" s="50" t="s">
        <v>748</v>
      </c>
      <c r="B110" s="10" t="s">
        <v>184</v>
      </c>
      <c r="C110" s="53" t="s">
        <v>804</v>
      </c>
      <c r="D110" s="10" t="s">
        <v>184</v>
      </c>
      <c r="E110" s="53" t="s">
        <v>804</v>
      </c>
      <c r="F110" s="12" t="s">
        <v>184</v>
      </c>
      <c r="G110" s="53" t="s">
        <v>719</v>
      </c>
      <c r="H110" s="12" t="s">
        <v>184</v>
      </c>
      <c r="I110" s="53" t="s">
        <v>719</v>
      </c>
      <c r="J110" s="12" t="s">
        <v>184</v>
      </c>
      <c r="K110" s="53" t="s">
        <v>720</v>
      </c>
      <c r="L110" s="12" t="s">
        <v>184</v>
      </c>
      <c r="M110" s="53" t="s">
        <v>217</v>
      </c>
      <c r="N110" s="10" t="s">
        <v>184</v>
      </c>
      <c r="O110" s="53" t="s">
        <v>189</v>
      </c>
    </row>
    <row r="111" spans="1:15" ht="87" x14ac:dyDescent="0.35">
      <c r="A111" s="50" t="s">
        <v>748</v>
      </c>
      <c r="B111" s="10"/>
      <c r="C111" s="53" t="s">
        <v>805</v>
      </c>
      <c r="D111" s="10"/>
      <c r="E111" s="53"/>
      <c r="F111" s="12"/>
      <c r="G111" s="53"/>
      <c r="H111" s="12"/>
      <c r="I111" s="53"/>
      <c r="J111" s="12"/>
      <c r="K111" s="53"/>
      <c r="L111" s="12"/>
      <c r="M111" s="53"/>
      <c r="N111" s="10"/>
      <c r="O111" s="53"/>
    </row>
    <row r="113" spans="1:15" ht="261" x14ac:dyDescent="0.35">
      <c r="A113" s="74" t="s">
        <v>781</v>
      </c>
      <c r="B113" s="10" t="s">
        <v>184</v>
      </c>
      <c r="C113" s="53" t="s">
        <v>791</v>
      </c>
      <c r="D113" s="10" t="s">
        <v>184</v>
      </c>
      <c r="E113" s="10" t="s">
        <v>792</v>
      </c>
      <c r="F113" s="10" t="s">
        <v>184</v>
      </c>
      <c r="G113" s="53" t="s">
        <v>793</v>
      </c>
      <c r="H113" s="10" t="s">
        <v>184</v>
      </c>
      <c r="I113" s="53" t="s">
        <v>793</v>
      </c>
      <c r="J113" s="10" t="s">
        <v>184</v>
      </c>
      <c r="K113" s="53" t="s">
        <v>794</v>
      </c>
      <c r="L113" s="10" t="s">
        <v>184</v>
      </c>
      <c r="M113" s="53" t="s">
        <v>795</v>
      </c>
      <c r="N113" s="10" t="s">
        <v>184</v>
      </c>
      <c r="O113" s="53" t="s">
        <v>189</v>
      </c>
    </row>
    <row r="114" spans="1:15" x14ac:dyDescent="0.35">
      <c r="A114" s="23"/>
      <c r="B114" s="11"/>
      <c r="C114" s="14"/>
      <c r="D114" s="11"/>
      <c r="E114" s="14"/>
      <c r="F114" s="11"/>
      <c r="G114" s="14"/>
      <c r="H114" s="11"/>
      <c r="I114" s="14"/>
      <c r="J114" s="11"/>
      <c r="K114" s="14"/>
      <c r="L114" s="11"/>
      <c r="M114" s="14"/>
      <c r="N114" s="11"/>
      <c r="O114" s="14"/>
    </row>
    <row r="115" spans="1:15" ht="130.5" x14ac:dyDescent="0.35">
      <c r="A115" s="23" t="s">
        <v>796</v>
      </c>
      <c r="B115" s="27" t="s">
        <v>30</v>
      </c>
      <c r="C115" s="31" t="s">
        <v>797</v>
      </c>
      <c r="D115" s="10" t="s">
        <v>184</v>
      </c>
      <c r="E115" s="53" t="s">
        <v>798</v>
      </c>
      <c r="F115" s="10" t="s">
        <v>184</v>
      </c>
      <c r="G115" s="53" t="s">
        <v>798</v>
      </c>
      <c r="H115" s="10" t="s">
        <v>184</v>
      </c>
      <c r="I115" s="53" t="s">
        <v>799</v>
      </c>
      <c r="J115" s="27" t="s">
        <v>30</v>
      </c>
      <c r="K115" s="31" t="s">
        <v>800</v>
      </c>
      <c r="L115" s="10" t="s">
        <v>184</v>
      </c>
      <c r="M115" s="53" t="s">
        <v>795</v>
      </c>
      <c r="N115" s="10" t="s">
        <v>184</v>
      </c>
      <c r="O115" s="53" t="s">
        <v>189</v>
      </c>
    </row>
    <row r="116" spans="1:15" x14ac:dyDescent="0.35">
      <c r="A116" s="23"/>
      <c r="B116" s="11"/>
      <c r="C116" s="14"/>
      <c r="D116" s="11"/>
      <c r="E116" s="14"/>
      <c r="F116" s="11"/>
      <c r="G116" s="14"/>
      <c r="H116" s="11"/>
      <c r="I116" s="14"/>
      <c r="J116" s="11"/>
      <c r="K116" s="14"/>
      <c r="L116" s="11"/>
      <c r="M116" s="14"/>
      <c r="N116" s="11"/>
      <c r="O116" s="14"/>
    </row>
    <row r="117" spans="1:15" ht="130.5" x14ac:dyDescent="0.35">
      <c r="A117" s="23" t="s">
        <v>801</v>
      </c>
      <c r="B117" s="27" t="s">
        <v>30</v>
      </c>
      <c r="C117" s="31" t="s">
        <v>797</v>
      </c>
      <c r="D117" s="10" t="s">
        <v>184</v>
      </c>
      <c r="E117" s="53" t="s">
        <v>798</v>
      </c>
      <c r="F117" s="10" t="s">
        <v>184</v>
      </c>
      <c r="G117" s="53" t="s">
        <v>799</v>
      </c>
      <c r="H117" s="10" t="s">
        <v>184</v>
      </c>
      <c r="I117" s="53" t="s">
        <v>799</v>
      </c>
      <c r="J117" s="27" t="s">
        <v>30</v>
      </c>
      <c r="K117" s="31" t="s">
        <v>800</v>
      </c>
      <c r="L117" s="10" t="s">
        <v>184</v>
      </c>
      <c r="M117" s="53" t="s">
        <v>795</v>
      </c>
      <c r="N117" s="10" t="s">
        <v>184</v>
      </c>
      <c r="O117" s="53" t="s">
        <v>189</v>
      </c>
    </row>
    <row r="118" spans="1:15" x14ac:dyDescent="0.35">
      <c r="A118" s="23"/>
      <c r="B118" s="11"/>
      <c r="C118" s="14"/>
      <c r="D118" s="11"/>
      <c r="E118" s="14"/>
      <c r="F118" s="11"/>
      <c r="G118" s="14"/>
      <c r="H118" s="11"/>
      <c r="I118" s="14"/>
      <c r="J118" s="11"/>
      <c r="K118" s="14"/>
      <c r="L118" s="11"/>
      <c r="M118" s="14"/>
      <c r="N118" s="11"/>
      <c r="O118" s="14"/>
    </row>
    <row r="119" spans="1:15" ht="87" x14ac:dyDescent="0.35">
      <c r="A119" s="50" t="s">
        <v>883</v>
      </c>
      <c r="B119" s="10" t="s">
        <v>184</v>
      </c>
      <c r="C119" s="10" t="s">
        <v>802</v>
      </c>
      <c r="D119" s="10" t="s">
        <v>184</v>
      </c>
      <c r="E119" s="10" t="s">
        <v>802</v>
      </c>
      <c r="F119" s="10" t="s">
        <v>184</v>
      </c>
      <c r="G119" s="53" t="s">
        <v>803</v>
      </c>
      <c r="H119" s="10" t="s">
        <v>184</v>
      </c>
      <c r="I119" s="53" t="s">
        <v>803</v>
      </c>
      <c r="J119" s="10" t="s">
        <v>184</v>
      </c>
      <c r="K119" s="53" t="s">
        <v>890</v>
      </c>
      <c r="L119" s="10" t="s">
        <v>184</v>
      </c>
      <c r="M119" s="53" t="s">
        <v>795</v>
      </c>
      <c r="N119" s="10" t="s">
        <v>184</v>
      </c>
      <c r="O119" s="53" t="s">
        <v>189</v>
      </c>
    </row>
    <row r="121" spans="1:15" ht="174" x14ac:dyDescent="0.35">
      <c r="A121" s="63" t="s">
        <v>808</v>
      </c>
      <c r="B121" s="27" t="s">
        <v>30</v>
      </c>
      <c r="C121" s="31" t="s">
        <v>828</v>
      </c>
      <c r="D121" s="10" t="s">
        <v>184</v>
      </c>
      <c r="E121" s="53" t="s">
        <v>829</v>
      </c>
      <c r="F121" s="10" t="s">
        <v>184</v>
      </c>
      <c r="G121" s="53" t="s">
        <v>830</v>
      </c>
      <c r="H121" s="10" t="s">
        <v>184</v>
      </c>
      <c r="I121" s="53" t="s">
        <v>830</v>
      </c>
      <c r="J121" s="27" t="s">
        <v>30</v>
      </c>
      <c r="K121" s="31" t="s">
        <v>831</v>
      </c>
      <c r="L121" s="10" t="s">
        <v>184</v>
      </c>
      <c r="M121" s="53" t="s">
        <v>795</v>
      </c>
      <c r="N121" s="10" t="s">
        <v>184</v>
      </c>
      <c r="O121" s="9" t="s">
        <v>189</v>
      </c>
    </row>
    <row r="122" spans="1:15" x14ac:dyDescent="0.35">
      <c r="B122" s="11"/>
      <c r="C122" s="14"/>
      <c r="D122" s="11"/>
      <c r="E122" s="14"/>
      <c r="F122" s="11"/>
      <c r="G122" s="14"/>
      <c r="H122" s="11"/>
      <c r="I122" s="14"/>
      <c r="J122" s="11"/>
      <c r="K122" s="14"/>
      <c r="L122" s="11"/>
      <c r="M122" s="14"/>
      <c r="N122" s="11"/>
    </row>
    <row r="123" spans="1:15" ht="101.5" x14ac:dyDescent="0.35">
      <c r="A123" s="63" t="s">
        <v>820</v>
      </c>
      <c r="B123" s="10" t="s">
        <v>184</v>
      </c>
      <c r="C123" s="53" t="s">
        <v>832</v>
      </c>
      <c r="D123" s="10" t="s">
        <v>184</v>
      </c>
      <c r="E123" s="53" t="s">
        <v>832</v>
      </c>
      <c r="F123" s="10" t="s">
        <v>184</v>
      </c>
      <c r="G123" s="53" t="s">
        <v>833</v>
      </c>
      <c r="H123" s="10" t="s">
        <v>184</v>
      </c>
      <c r="I123" s="53" t="s">
        <v>833</v>
      </c>
      <c r="J123" s="10" t="s">
        <v>184</v>
      </c>
      <c r="K123" s="53" t="s">
        <v>834</v>
      </c>
      <c r="L123" s="10" t="s">
        <v>184</v>
      </c>
      <c r="M123" s="53" t="s">
        <v>795</v>
      </c>
      <c r="N123" s="10" t="s">
        <v>184</v>
      </c>
      <c r="O123" s="9" t="s">
        <v>189</v>
      </c>
    </row>
    <row r="125" spans="1:15" ht="90.75" customHeight="1" x14ac:dyDescent="0.35">
      <c r="A125" s="63" t="s">
        <v>837</v>
      </c>
      <c r="B125" s="59" t="s">
        <v>184</v>
      </c>
      <c r="C125" s="62" t="s">
        <v>844</v>
      </c>
      <c r="D125" s="59" t="s">
        <v>184</v>
      </c>
      <c r="E125" s="62" t="s">
        <v>845</v>
      </c>
      <c r="F125" s="59" t="s">
        <v>184</v>
      </c>
      <c r="G125" s="62" t="s">
        <v>846</v>
      </c>
      <c r="H125" s="59" t="s">
        <v>184</v>
      </c>
      <c r="I125" s="62" t="s">
        <v>891</v>
      </c>
      <c r="J125" s="59" t="s">
        <v>184</v>
      </c>
      <c r="K125" s="62" t="s">
        <v>847</v>
      </c>
      <c r="L125" s="59" t="s">
        <v>184</v>
      </c>
      <c r="M125" s="62" t="s">
        <v>795</v>
      </c>
      <c r="N125" s="59" t="s">
        <v>184</v>
      </c>
      <c r="O125" s="12" t="s">
        <v>189</v>
      </c>
    </row>
    <row r="127" spans="1:15" ht="145" x14ac:dyDescent="0.35">
      <c r="A127" s="63" t="s">
        <v>855</v>
      </c>
      <c r="B127" s="59" t="s">
        <v>184</v>
      </c>
      <c r="C127" s="62" t="s">
        <v>856</v>
      </c>
      <c r="D127" s="59" t="s">
        <v>184</v>
      </c>
      <c r="E127" s="62" t="s">
        <v>856</v>
      </c>
      <c r="F127" s="59" t="s">
        <v>184</v>
      </c>
      <c r="G127" s="62" t="s">
        <v>892</v>
      </c>
      <c r="H127" s="59" t="s">
        <v>184</v>
      </c>
      <c r="I127" s="62" t="s">
        <v>892</v>
      </c>
      <c r="J127" s="59" t="s">
        <v>184</v>
      </c>
      <c r="K127" s="62" t="s">
        <v>893</v>
      </c>
      <c r="L127" s="59" t="s">
        <v>184</v>
      </c>
      <c r="M127" s="62" t="s">
        <v>795</v>
      </c>
      <c r="N127" s="59" t="s">
        <v>184</v>
      </c>
      <c r="O127" s="12" t="s">
        <v>189</v>
      </c>
    </row>
    <row r="129" spans="1:15" ht="174" x14ac:dyDescent="0.35">
      <c r="A129" s="63" t="s">
        <v>858</v>
      </c>
      <c r="B129" s="59" t="s">
        <v>184</v>
      </c>
      <c r="C129" s="62" t="s">
        <v>868</v>
      </c>
      <c r="D129" s="59" t="s">
        <v>184</v>
      </c>
      <c r="E129" s="62" t="s">
        <v>868</v>
      </c>
      <c r="F129" s="59" t="s">
        <v>184</v>
      </c>
      <c r="G129" s="62" t="s">
        <v>894</v>
      </c>
      <c r="H129" s="59" t="s">
        <v>184</v>
      </c>
      <c r="I129" s="62" t="s">
        <v>894</v>
      </c>
      <c r="J129" s="59" t="s">
        <v>184</v>
      </c>
      <c r="K129" s="62" t="s">
        <v>857</v>
      </c>
      <c r="L129" s="59" t="s">
        <v>184</v>
      </c>
      <c r="M129" s="62" t="s">
        <v>795</v>
      </c>
      <c r="N129" s="59" t="s">
        <v>184</v>
      </c>
      <c r="O129" s="12" t="s">
        <v>189</v>
      </c>
    </row>
    <row r="131" spans="1:15" ht="174" x14ac:dyDescent="0.35">
      <c r="A131" s="63" t="s">
        <v>862</v>
      </c>
      <c r="B131" s="59" t="s">
        <v>184</v>
      </c>
      <c r="C131" s="62" t="s">
        <v>868</v>
      </c>
      <c r="D131" s="59" t="s">
        <v>184</v>
      </c>
      <c r="E131" s="62" t="s">
        <v>868</v>
      </c>
      <c r="F131" s="59" t="s">
        <v>184</v>
      </c>
      <c r="G131" s="62" t="s">
        <v>894</v>
      </c>
      <c r="H131" s="59" t="s">
        <v>184</v>
      </c>
      <c r="I131" s="62" t="s">
        <v>894</v>
      </c>
      <c r="J131" s="59" t="s">
        <v>184</v>
      </c>
      <c r="K131" s="62" t="s">
        <v>857</v>
      </c>
      <c r="L131" s="59" t="s">
        <v>184</v>
      </c>
      <c r="M131" s="62" t="s">
        <v>795</v>
      </c>
      <c r="N131" s="59" t="s">
        <v>184</v>
      </c>
      <c r="O131" s="12" t="s">
        <v>189</v>
      </c>
    </row>
    <row r="133" spans="1:15" ht="195" customHeight="1" x14ac:dyDescent="0.35">
      <c r="A133" s="63" t="s">
        <v>869</v>
      </c>
      <c r="B133" s="57" t="s">
        <v>30</v>
      </c>
      <c r="C133" s="58" t="s">
        <v>875</v>
      </c>
      <c r="D133" s="59" t="s">
        <v>184</v>
      </c>
      <c r="E133" s="62" t="s">
        <v>876</v>
      </c>
      <c r="F133" s="59" t="s">
        <v>184</v>
      </c>
      <c r="G133" s="62" t="s">
        <v>877</v>
      </c>
      <c r="H133" s="59" t="s">
        <v>184</v>
      </c>
      <c r="I133" s="62" t="s">
        <v>895</v>
      </c>
      <c r="J133" s="75" t="s">
        <v>184</v>
      </c>
      <c r="K133" s="53" t="s">
        <v>897</v>
      </c>
      <c r="L133" s="75" t="s">
        <v>184</v>
      </c>
      <c r="M133" s="53" t="s">
        <v>896</v>
      </c>
      <c r="N133" s="75" t="s">
        <v>184</v>
      </c>
      <c r="O133" s="76" t="s">
        <v>189</v>
      </c>
    </row>
    <row r="135" spans="1:15" ht="72.5" x14ac:dyDescent="0.35">
      <c r="A135" s="219" t="s">
        <v>1112</v>
      </c>
      <c r="B135" s="62" t="s">
        <v>184</v>
      </c>
      <c r="C135" s="62" t="s">
        <v>1120</v>
      </c>
      <c r="D135" s="62" t="s">
        <v>184</v>
      </c>
      <c r="E135" s="62" t="s">
        <v>1120</v>
      </c>
      <c r="F135" s="59" t="s">
        <v>184</v>
      </c>
      <c r="G135" s="62" t="s">
        <v>1121</v>
      </c>
      <c r="H135" s="59" t="s">
        <v>184</v>
      </c>
      <c r="I135" s="62" t="s">
        <v>1121</v>
      </c>
      <c r="J135" s="59" t="s">
        <v>190</v>
      </c>
      <c r="K135" s="62" t="s">
        <v>1136</v>
      </c>
      <c r="L135" s="59" t="s">
        <v>184</v>
      </c>
      <c r="M135" s="62" t="s">
        <v>737</v>
      </c>
      <c r="N135" s="59" t="s">
        <v>184</v>
      </c>
      <c r="O135" s="12" t="s">
        <v>189</v>
      </c>
    </row>
    <row r="137" spans="1:15" ht="174" x14ac:dyDescent="0.35">
      <c r="A137" s="219" t="s">
        <v>1406</v>
      </c>
      <c r="B137" s="59" t="s">
        <v>184</v>
      </c>
      <c r="C137" s="62" t="s">
        <v>1124</v>
      </c>
      <c r="D137" s="59" t="s">
        <v>184</v>
      </c>
      <c r="E137" s="62" t="s">
        <v>1124</v>
      </c>
      <c r="F137" s="59" t="s">
        <v>184</v>
      </c>
      <c r="G137" s="62" t="s">
        <v>1126</v>
      </c>
      <c r="H137" s="59" t="s">
        <v>184</v>
      </c>
      <c r="I137" s="62" t="s">
        <v>1125</v>
      </c>
      <c r="J137" s="57" t="s">
        <v>30</v>
      </c>
      <c r="K137" s="58" t="s">
        <v>1135</v>
      </c>
      <c r="L137" s="59" t="s">
        <v>184</v>
      </c>
      <c r="M137" s="62" t="s">
        <v>737</v>
      </c>
      <c r="N137" s="59" t="s">
        <v>184</v>
      </c>
      <c r="O137" s="12" t="s">
        <v>189</v>
      </c>
    </row>
    <row r="139" spans="1:15" ht="217.5" x14ac:dyDescent="0.35">
      <c r="A139" s="219" t="s">
        <v>1179</v>
      </c>
      <c r="B139" s="59" t="s">
        <v>184</v>
      </c>
      <c r="C139" s="62" t="s">
        <v>1129</v>
      </c>
      <c r="D139" s="59" t="s">
        <v>184</v>
      </c>
      <c r="E139" s="62" t="s">
        <v>1130</v>
      </c>
      <c r="F139" s="10" t="s">
        <v>184</v>
      </c>
      <c r="G139" s="53" t="s">
        <v>1137</v>
      </c>
      <c r="H139" s="59" t="s">
        <v>184</v>
      </c>
      <c r="I139" s="53" t="s">
        <v>1137</v>
      </c>
      <c r="J139" s="59" t="s">
        <v>184</v>
      </c>
      <c r="K139" s="53" t="s">
        <v>1138</v>
      </c>
      <c r="L139" s="59" t="s">
        <v>184</v>
      </c>
      <c r="M139" s="62" t="s">
        <v>737</v>
      </c>
      <c r="N139" s="59" t="s">
        <v>184</v>
      </c>
      <c r="O139" s="12" t="s">
        <v>189</v>
      </c>
    </row>
    <row r="140" spans="1:15" x14ac:dyDescent="0.35">
      <c r="A140" s="63" t="s">
        <v>1225</v>
      </c>
    </row>
    <row r="141" spans="1:15" ht="246.5" x14ac:dyDescent="0.35">
      <c r="A141" s="63" t="s">
        <v>1152</v>
      </c>
      <c r="B141" s="10" t="s">
        <v>184</v>
      </c>
      <c r="C141" s="53" t="s">
        <v>1157</v>
      </c>
      <c r="D141" s="10" t="s">
        <v>184</v>
      </c>
      <c r="E141" s="53" t="s">
        <v>1158</v>
      </c>
      <c r="F141" s="10" t="s">
        <v>184</v>
      </c>
      <c r="G141" s="53" t="s">
        <v>1159</v>
      </c>
      <c r="H141" s="10" t="s">
        <v>184</v>
      </c>
      <c r="I141" s="53" t="s">
        <v>1159</v>
      </c>
      <c r="J141" s="27" t="s">
        <v>30</v>
      </c>
      <c r="K141" s="31" t="s">
        <v>1160</v>
      </c>
      <c r="L141" s="10" t="s">
        <v>184</v>
      </c>
      <c r="M141" s="53" t="s">
        <v>795</v>
      </c>
      <c r="N141" s="10" t="s">
        <v>184</v>
      </c>
      <c r="O141" s="9" t="s">
        <v>189</v>
      </c>
    </row>
    <row r="143" spans="1:15" ht="203" x14ac:dyDescent="0.35">
      <c r="A143" s="63" t="s">
        <v>1259</v>
      </c>
      <c r="B143" s="59" t="s">
        <v>184</v>
      </c>
      <c r="C143" s="62" t="s">
        <v>1177</v>
      </c>
      <c r="D143" s="59" t="s">
        <v>184</v>
      </c>
      <c r="E143" s="62" t="s">
        <v>1177</v>
      </c>
      <c r="F143" s="59" t="s">
        <v>184</v>
      </c>
      <c r="G143" s="62" t="s">
        <v>1176</v>
      </c>
      <c r="H143" s="59" t="s">
        <v>184</v>
      </c>
      <c r="I143" s="62" t="s">
        <v>1176</v>
      </c>
      <c r="J143" s="59" t="s">
        <v>184</v>
      </c>
      <c r="K143" s="62" t="s">
        <v>1178</v>
      </c>
      <c r="L143" s="59" t="s">
        <v>184</v>
      </c>
      <c r="M143" s="62" t="s">
        <v>217</v>
      </c>
      <c r="N143" s="59" t="s">
        <v>184</v>
      </c>
      <c r="O143" s="12" t="s">
        <v>189</v>
      </c>
    </row>
    <row r="145" spans="1:15" ht="58" x14ac:dyDescent="0.35">
      <c r="A145" s="384" t="s">
        <v>1256</v>
      </c>
      <c r="B145" s="59" t="s">
        <v>184</v>
      </c>
      <c r="C145" s="62" t="s">
        <v>1187</v>
      </c>
      <c r="D145" s="59" t="s">
        <v>184</v>
      </c>
      <c r="E145" s="62" t="s">
        <v>1187</v>
      </c>
      <c r="F145" s="59" t="s">
        <v>184</v>
      </c>
      <c r="G145" s="62" t="s">
        <v>1188</v>
      </c>
      <c r="H145" s="59" t="s">
        <v>184</v>
      </c>
      <c r="I145" s="62" t="s">
        <v>1189</v>
      </c>
      <c r="J145" s="59" t="s">
        <v>184</v>
      </c>
      <c r="K145" s="62" t="s">
        <v>1190</v>
      </c>
      <c r="L145" s="59" t="s">
        <v>184</v>
      </c>
      <c r="M145" s="62" t="s">
        <v>217</v>
      </c>
      <c r="N145" s="59" t="s">
        <v>184</v>
      </c>
      <c r="O145" s="12" t="s">
        <v>189</v>
      </c>
    </row>
    <row r="147" spans="1:15" ht="116" x14ac:dyDescent="0.35">
      <c r="A147" s="63" t="s">
        <v>1191</v>
      </c>
      <c r="B147" s="59" t="s">
        <v>184</v>
      </c>
      <c r="C147" s="62" t="s">
        <v>1201</v>
      </c>
      <c r="D147" s="59" t="s">
        <v>184</v>
      </c>
      <c r="E147" s="62" t="s">
        <v>1201</v>
      </c>
      <c r="F147" s="59" t="s">
        <v>184</v>
      </c>
      <c r="G147" s="62" t="s">
        <v>1202</v>
      </c>
      <c r="H147" s="59" t="s">
        <v>184</v>
      </c>
      <c r="I147" s="62" t="s">
        <v>1202</v>
      </c>
      <c r="J147" s="57" t="s">
        <v>30</v>
      </c>
      <c r="K147" s="58" t="s">
        <v>1222</v>
      </c>
      <c r="L147" s="59" t="s">
        <v>184</v>
      </c>
      <c r="M147" s="62" t="s">
        <v>217</v>
      </c>
      <c r="N147" s="59" t="s">
        <v>184</v>
      </c>
      <c r="O147" s="12" t="s">
        <v>189</v>
      </c>
    </row>
    <row r="148" spans="1:15" ht="116" x14ac:dyDescent="0.35">
      <c r="A148" s="63" t="s">
        <v>1192</v>
      </c>
      <c r="B148" s="59" t="s">
        <v>184</v>
      </c>
      <c r="C148" s="62" t="s">
        <v>1201</v>
      </c>
      <c r="D148" s="59" t="s">
        <v>184</v>
      </c>
      <c r="E148" s="62" t="s">
        <v>1201</v>
      </c>
      <c r="F148" s="59" t="s">
        <v>184</v>
      </c>
      <c r="G148" s="62" t="s">
        <v>1202</v>
      </c>
      <c r="H148" s="59" t="s">
        <v>184</v>
      </c>
      <c r="I148" s="62" t="s">
        <v>1202</v>
      </c>
      <c r="J148" s="57" t="s">
        <v>30</v>
      </c>
      <c r="K148" s="58" t="s">
        <v>1222</v>
      </c>
      <c r="L148" s="59" t="s">
        <v>184</v>
      </c>
      <c r="M148" s="62" t="s">
        <v>217</v>
      </c>
      <c r="N148" s="59" t="s">
        <v>184</v>
      </c>
      <c r="O148" s="12" t="s">
        <v>189</v>
      </c>
    </row>
    <row r="150" spans="1:15" ht="145" x14ac:dyDescent="0.35">
      <c r="A150" s="272" t="s">
        <v>1203</v>
      </c>
      <c r="B150" s="59" t="s">
        <v>184</v>
      </c>
      <c r="C150" s="62" t="s">
        <v>1208</v>
      </c>
      <c r="D150" s="59" t="s">
        <v>184</v>
      </c>
      <c r="E150" s="62" t="s">
        <v>1208</v>
      </c>
      <c r="F150" s="59" t="s">
        <v>184</v>
      </c>
      <c r="G150" s="62" t="s">
        <v>1209</v>
      </c>
      <c r="H150" s="59" t="s">
        <v>184</v>
      </c>
      <c r="I150" s="62" t="s">
        <v>1209</v>
      </c>
      <c r="J150" s="57" t="s">
        <v>30</v>
      </c>
      <c r="K150" s="58" t="s">
        <v>1224</v>
      </c>
      <c r="L150" s="57" t="s">
        <v>30</v>
      </c>
      <c r="M150" s="58" t="s">
        <v>1207</v>
      </c>
      <c r="N150" s="59" t="s">
        <v>184</v>
      </c>
      <c r="O150" s="12" t="s">
        <v>189</v>
      </c>
    </row>
    <row r="152" spans="1:15" ht="362.5" x14ac:dyDescent="0.35">
      <c r="A152" s="219" t="s">
        <v>1211</v>
      </c>
      <c r="B152" s="59" t="s">
        <v>184</v>
      </c>
      <c r="C152" s="62" t="s">
        <v>1218</v>
      </c>
      <c r="D152" s="59" t="s">
        <v>184</v>
      </c>
      <c r="E152" s="62" t="s">
        <v>1218</v>
      </c>
      <c r="F152" s="59" t="s">
        <v>184</v>
      </c>
      <c r="G152" s="62" t="s">
        <v>1219</v>
      </c>
      <c r="H152" s="59" t="s">
        <v>184</v>
      </c>
      <c r="I152" s="62" t="s">
        <v>1219</v>
      </c>
      <c r="J152" s="59" t="s">
        <v>184</v>
      </c>
      <c r="K152" s="62" t="s">
        <v>1220</v>
      </c>
      <c r="L152" s="59" t="s">
        <v>184</v>
      </c>
      <c r="M152" s="62" t="s">
        <v>1221</v>
      </c>
      <c r="N152" s="59" t="s">
        <v>184</v>
      </c>
      <c r="O152" s="12" t="s">
        <v>189</v>
      </c>
    </row>
    <row r="153" spans="1:15" ht="144" customHeight="1" x14ac:dyDescent="0.35">
      <c r="A153" s="381" t="s">
        <v>1240</v>
      </c>
      <c r="B153" s="59" t="s">
        <v>184</v>
      </c>
      <c r="C153" s="62" t="s">
        <v>1246</v>
      </c>
      <c r="D153" s="59" t="s">
        <v>184</v>
      </c>
      <c r="E153" s="62" t="s">
        <v>1246</v>
      </c>
      <c r="F153" s="59" t="s">
        <v>184</v>
      </c>
      <c r="G153" s="62" t="s">
        <v>1250</v>
      </c>
      <c r="H153" s="59" t="s">
        <v>184</v>
      </c>
      <c r="I153" s="62" t="s">
        <v>1247</v>
      </c>
      <c r="J153" s="59" t="s">
        <v>184</v>
      </c>
      <c r="K153" s="62" t="s">
        <v>1245</v>
      </c>
      <c r="L153" s="59" t="s">
        <v>184</v>
      </c>
      <c r="M153" s="62" t="s">
        <v>1221</v>
      </c>
      <c r="N153" s="12" t="s">
        <v>184</v>
      </c>
      <c r="O153" s="12" t="s">
        <v>189</v>
      </c>
    </row>
    <row r="154" spans="1:15" x14ac:dyDescent="0.35">
      <c r="F154" s="382"/>
      <c r="H154" s="382"/>
      <c r="J154" s="382"/>
      <c r="K154" s="383"/>
      <c r="L154" s="382"/>
      <c r="M154" s="383"/>
    </row>
    <row r="155" spans="1:15" ht="246.5" x14ac:dyDescent="0.35">
      <c r="A155" s="380" t="s">
        <v>1262</v>
      </c>
      <c r="B155" s="59" t="s">
        <v>184</v>
      </c>
      <c r="C155" s="62" t="s">
        <v>1269</v>
      </c>
      <c r="D155" s="59" t="s">
        <v>184</v>
      </c>
      <c r="E155" s="62" t="s">
        <v>1297</v>
      </c>
      <c r="F155" s="59" t="s">
        <v>184</v>
      </c>
      <c r="G155" s="62" t="s">
        <v>1270</v>
      </c>
      <c r="H155" s="59" t="s">
        <v>184</v>
      </c>
      <c r="I155" s="62" t="s">
        <v>1270</v>
      </c>
      <c r="J155" s="59" t="s">
        <v>184</v>
      </c>
      <c r="K155" s="62" t="s">
        <v>1298</v>
      </c>
      <c r="L155" s="59" t="s">
        <v>184</v>
      </c>
      <c r="M155" s="62" t="s">
        <v>1221</v>
      </c>
      <c r="N155" s="59" t="s">
        <v>184</v>
      </c>
      <c r="O155" s="12" t="s">
        <v>189</v>
      </c>
    </row>
    <row r="157" spans="1:15" ht="290" x14ac:dyDescent="0.35">
      <c r="A157" s="384" t="s">
        <v>1655</v>
      </c>
      <c r="B157" s="59" t="s">
        <v>184</v>
      </c>
      <c r="C157" s="62" t="s">
        <v>1275</v>
      </c>
      <c r="D157" s="59" t="s">
        <v>184</v>
      </c>
      <c r="E157" s="62" t="s">
        <v>1275</v>
      </c>
      <c r="F157" s="59" t="s">
        <v>184</v>
      </c>
      <c r="G157" s="62" t="s">
        <v>1276</v>
      </c>
      <c r="H157" s="59" t="s">
        <v>184</v>
      </c>
      <c r="I157" s="62" t="s">
        <v>1276</v>
      </c>
      <c r="J157" s="59" t="s">
        <v>184</v>
      </c>
      <c r="K157" s="62" t="s">
        <v>1277</v>
      </c>
      <c r="L157" s="59" t="s">
        <v>184</v>
      </c>
      <c r="M157" s="62" t="s">
        <v>1221</v>
      </c>
      <c r="N157" s="59" t="s">
        <v>184</v>
      </c>
      <c r="O157" s="12" t="s">
        <v>189</v>
      </c>
    </row>
    <row r="159" spans="1:15" ht="101.5" x14ac:dyDescent="0.35">
      <c r="A159" s="384" t="s">
        <v>1278</v>
      </c>
      <c r="B159" s="59" t="s">
        <v>184</v>
      </c>
      <c r="C159" s="62" t="s">
        <v>1294</v>
      </c>
      <c r="D159" s="59" t="s">
        <v>184</v>
      </c>
      <c r="E159" s="62" t="s">
        <v>1295</v>
      </c>
      <c r="F159" s="59" t="s">
        <v>184</v>
      </c>
      <c r="G159" s="62" t="s">
        <v>1295</v>
      </c>
      <c r="H159" s="59" t="s">
        <v>184</v>
      </c>
      <c r="I159" s="62" t="s">
        <v>1295</v>
      </c>
      <c r="J159" s="57" t="s">
        <v>30</v>
      </c>
      <c r="K159" s="58" t="s">
        <v>1296</v>
      </c>
      <c r="L159" s="59" t="s">
        <v>184</v>
      </c>
      <c r="M159" s="62" t="s">
        <v>1221</v>
      </c>
      <c r="N159" s="59" t="s">
        <v>184</v>
      </c>
      <c r="O159" s="12" t="s">
        <v>189</v>
      </c>
    </row>
    <row r="161" spans="1:15" ht="188.5" x14ac:dyDescent="0.35">
      <c r="A161" s="63" t="s">
        <v>1625</v>
      </c>
      <c r="B161" s="59" t="s">
        <v>184</v>
      </c>
      <c r="C161" s="62" t="s">
        <v>1309</v>
      </c>
      <c r="D161" s="59" t="s">
        <v>184</v>
      </c>
      <c r="E161" s="62" t="s">
        <v>1310</v>
      </c>
      <c r="F161" s="59" t="s">
        <v>184</v>
      </c>
      <c r="G161" s="62" t="s">
        <v>1311</v>
      </c>
      <c r="H161" s="59" t="s">
        <v>184</v>
      </c>
      <c r="I161" s="62" t="s">
        <v>1311</v>
      </c>
      <c r="J161" s="57" t="s">
        <v>30</v>
      </c>
      <c r="K161" s="58" t="s">
        <v>1331</v>
      </c>
      <c r="L161" s="59" t="s">
        <v>184</v>
      </c>
      <c r="M161" s="62" t="s">
        <v>1221</v>
      </c>
      <c r="N161" s="59" t="s">
        <v>184</v>
      </c>
      <c r="O161" s="12" t="s">
        <v>189</v>
      </c>
    </row>
    <row r="163" spans="1:15" ht="58" x14ac:dyDescent="0.35">
      <c r="A163" s="63" t="s">
        <v>1312</v>
      </c>
      <c r="B163" s="57" t="s">
        <v>30</v>
      </c>
      <c r="C163" s="58" t="s">
        <v>1322</v>
      </c>
      <c r="D163" s="57" t="s">
        <v>30</v>
      </c>
      <c r="E163" s="58" t="s">
        <v>1322</v>
      </c>
      <c r="F163" s="59" t="s">
        <v>184</v>
      </c>
      <c r="G163" s="62" t="s">
        <v>1323</v>
      </c>
      <c r="H163" s="59" t="s">
        <v>184</v>
      </c>
      <c r="I163" s="62" t="s">
        <v>1323</v>
      </c>
      <c r="J163" s="59" t="s">
        <v>184</v>
      </c>
      <c r="K163" s="62" t="s">
        <v>1333</v>
      </c>
      <c r="L163" s="57" t="s">
        <v>30</v>
      </c>
      <c r="M163" s="58" t="s">
        <v>1334</v>
      </c>
      <c r="N163" s="59" t="s">
        <v>184</v>
      </c>
      <c r="O163" s="12" t="s">
        <v>189</v>
      </c>
    </row>
    <row r="165" spans="1:15" ht="72.5" x14ac:dyDescent="0.35">
      <c r="A165" s="63" t="s">
        <v>1324</v>
      </c>
      <c r="B165" s="59" t="s">
        <v>184</v>
      </c>
      <c r="C165" s="62" t="s">
        <v>1328</v>
      </c>
      <c r="D165" s="59" t="s">
        <v>184</v>
      </c>
      <c r="E165" s="62" t="s">
        <v>1328</v>
      </c>
      <c r="F165" s="59" t="s">
        <v>184</v>
      </c>
      <c r="G165" s="62" t="s">
        <v>1329</v>
      </c>
      <c r="H165" s="59" t="s">
        <v>184</v>
      </c>
      <c r="I165" s="62" t="s">
        <v>1329</v>
      </c>
      <c r="J165" s="59" t="s">
        <v>184</v>
      </c>
      <c r="K165" s="62" t="s">
        <v>1330</v>
      </c>
      <c r="L165" s="59" t="s">
        <v>184</v>
      </c>
      <c r="M165" s="62" t="s">
        <v>1221</v>
      </c>
      <c r="N165" s="59" t="s">
        <v>184</v>
      </c>
      <c r="O165" s="12" t="s">
        <v>189</v>
      </c>
    </row>
    <row r="167" spans="1:15" ht="290" x14ac:dyDescent="0.35">
      <c r="A167" s="63" t="s">
        <v>1335</v>
      </c>
      <c r="B167" s="59" t="s">
        <v>184</v>
      </c>
      <c r="C167" s="62" t="s">
        <v>1342</v>
      </c>
      <c r="D167" s="59" t="s">
        <v>184</v>
      </c>
      <c r="E167" s="62" t="s">
        <v>1342</v>
      </c>
      <c r="F167" s="10" t="s">
        <v>184</v>
      </c>
      <c r="G167" s="53" t="s">
        <v>1343</v>
      </c>
      <c r="H167" s="10" t="s">
        <v>184</v>
      </c>
      <c r="I167" s="53" t="s">
        <v>1344</v>
      </c>
      <c r="J167" s="27" t="s">
        <v>30</v>
      </c>
      <c r="K167" s="31" t="s">
        <v>1345</v>
      </c>
      <c r="L167" s="10" t="s">
        <v>184</v>
      </c>
      <c r="M167" s="53" t="s">
        <v>1346</v>
      </c>
      <c r="N167" s="10" t="s">
        <v>184</v>
      </c>
      <c r="O167" s="9" t="s">
        <v>189</v>
      </c>
    </row>
    <row r="169" spans="1:15" ht="188.5" x14ac:dyDescent="0.35">
      <c r="A169" s="191" t="s">
        <v>1866</v>
      </c>
      <c r="B169" s="59" t="s">
        <v>184</v>
      </c>
      <c r="C169" s="62" t="s">
        <v>1361</v>
      </c>
      <c r="D169" s="59" t="s">
        <v>184</v>
      </c>
      <c r="E169" s="62" t="s">
        <v>1360</v>
      </c>
      <c r="F169" s="59" t="s">
        <v>184</v>
      </c>
      <c r="G169" s="62" t="s">
        <v>1362</v>
      </c>
      <c r="H169" s="59" t="s">
        <v>184</v>
      </c>
      <c r="I169" s="62" t="s">
        <v>1362</v>
      </c>
      <c r="J169" s="57" t="s">
        <v>30</v>
      </c>
      <c r="K169" s="58" t="s">
        <v>1363</v>
      </c>
      <c r="L169" s="10" t="s">
        <v>184</v>
      </c>
      <c r="M169" s="53" t="s">
        <v>1346</v>
      </c>
      <c r="N169" s="10" t="s">
        <v>184</v>
      </c>
      <c r="O169" s="9" t="s">
        <v>189</v>
      </c>
    </row>
    <row r="170" spans="1:15" x14ac:dyDescent="0.35">
      <c r="A170" s="26"/>
      <c r="B170" s="11"/>
      <c r="C170" s="14"/>
      <c r="D170" s="11"/>
      <c r="E170" s="14"/>
      <c r="F170" s="11"/>
      <c r="G170" s="14"/>
      <c r="H170" s="11"/>
      <c r="I170" s="14"/>
      <c r="J170" s="11"/>
      <c r="K170" s="14"/>
      <c r="L170" s="11"/>
      <c r="M170" s="14"/>
      <c r="N170" s="11"/>
    </row>
    <row r="171" spans="1:15" ht="188.5" x14ac:dyDescent="0.35">
      <c r="A171" s="191" t="s">
        <v>1867</v>
      </c>
      <c r="B171" s="59" t="s">
        <v>184</v>
      </c>
      <c r="C171" s="62" t="s">
        <v>1361</v>
      </c>
      <c r="D171" s="59" t="s">
        <v>184</v>
      </c>
      <c r="E171" s="62" t="s">
        <v>1360</v>
      </c>
      <c r="F171" s="59" t="s">
        <v>184</v>
      </c>
      <c r="G171" s="62" t="s">
        <v>1362</v>
      </c>
      <c r="H171" s="59" t="s">
        <v>184</v>
      </c>
      <c r="I171" s="62" t="s">
        <v>1362</v>
      </c>
      <c r="J171" s="57" t="s">
        <v>30</v>
      </c>
      <c r="K171" s="58" t="s">
        <v>1363</v>
      </c>
      <c r="L171" s="10" t="s">
        <v>184</v>
      </c>
      <c r="M171" s="53" t="s">
        <v>1346</v>
      </c>
      <c r="N171" s="10" t="s">
        <v>184</v>
      </c>
      <c r="O171" s="9" t="s">
        <v>189</v>
      </c>
    </row>
    <row r="173" spans="1:15" ht="362.5" x14ac:dyDescent="0.35">
      <c r="A173" s="63" t="s">
        <v>1627</v>
      </c>
      <c r="B173" s="59" t="s">
        <v>184</v>
      </c>
      <c r="C173" s="62" t="s">
        <v>1374</v>
      </c>
      <c r="D173" s="59" t="s">
        <v>184</v>
      </c>
      <c r="E173" s="62" t="s">
        <v>1373</v>
      </c>
      <c r="F173" s="59" t="s">
        <v>184</v>
      </c>
      <c r="G173" s="62" t="s">
        <v>1375</v>
      </c>
      <c r="H173" s="59" t="s">
        <v>184</v>
      </c>
      <c r="I173" s="62" t="s">
        <v>1375</v>
      </c>
      <c r="J173" s="59" t="s">
        <v>184</v>
      </c>
      <c r="K173" s="62" t="s">
        <v>1376</v>
      </c>
      <c r="L173" s="59" t="s">
        <v>184</v>
      </c>
      <c r="M173" s="62" t="s">
        <v>1346</v>
      </c>
      <c r="N173" s="59" t="s">
        <v>184</v>
      </c>
      <c r="O173" s="12" t="s">
        <v>189</v>
      </c>
    </row>
    <row r="175" spans="1:15" ht="29" x14ac:dyDescent="0.35">
      <c r="A175" s="63" t="s">
        <v>1377</v>
      </c>
      <c r="B175" s="57" t="s">
        <v>30</v>
      </c>
      <c r="C175" s="58" t="s">
        <v>1383</v>
      </c>
      <c r="D175" s="57" t="s">
        <v>30</v>
      </c>
      <c r="E175" s="58" t="s">
        <v>1322</v>
      </c>
      <c r="F175" s="59" t="s">
        <v>184</v>
      </c>
      <c r="G175" s="62" t="s">
        <v>1384</v>
      </c>
      <c r="H175" s="59" t="s">
        <v>184</v>
      </c>
      <c r="I175" s="62" t="s">
        <v>1384</v>
      </c>
      <c r="J175" s="57" t="s">
        <v>30</v>
      </c>
      <c r="K175" s="58" t="s">
        <v>1385</v>
      </c>
      <c r="L175" s="57" t="s">
        <v>30</v>
      </c>
      <c r="M175" s="58" t="s">
        <v>1386</v>
      </c>
      <c r="N175" s="59" t="s">
        <v>184</v>
      </c>
      <c r="O175" s="12" t="s">
        <v>189</v>
      </c>
    </row>
    <row r="177" spans="1:15" ht="246.5" x14ac:dyDescent="0.35">
      <c r="A177" s="63" t="s">
        <v>1387</v>
      </c>
      <c r="B177" s="59" t="s">
        <v>184</v>
      </c>
      <c r="C177" s="62" t="s">
        <v>1394</v>
      </c>
      <c r="D177" s="59" t="s">
        <v>184</v>
      </c>
      <c r="E177" s="62" t="s">
        <v>1395</v>
      </c>
      <c r="F177" s="59" t="s">
        <v>184</v>
      </c>
      <c r="G177" s="62" t="s">
        <v>1396</v>
      </c>
      <c r="H177" s="59" t="s">
        <v>184</v>
      </c>
      <c r="I177" s="62" t="s">
        <v>1397</v>
      </c>
      <c r="J177" s="59" t="s">
        <v>184</v>
      </c>
      <c r="K177" s="62" t="s">
        <v>1333</v>
      </c>
      <c r="L177" s="59" t="s">
        <v>184</v>
      </c>
      <c r="M177" s="62" t="s">
        <v>1398</v>
      </c>
      <c r="N177" s="59" t="s">
        <v>184</v>
      </c>
      <c r="O177" s="12" t="s">
        <v>189</v>
      </c>
    </row>
    <row r="179" spans="1:15" ht="319" x14ac:dyDescent="0.35">
      <c r="A179" s="63" t="s">
        <v>1912</v>
      </c>
      <c r="B179" s="59" t="s">
        <v>184</v>
      </c>
      <c r="C179" s="62" t="s">
        <v>1401</v>
      </c>
      <c r="D179" s="59" t="s">
        <v>184</v>
      </c>
      <c r="E179" s="62" t="s">
        <v>1402</v>
      </c>
      <c r="F179" s="59" t="s">
        <v>184</v>
      </c>
      <c r="G179" s="62" t="s">
        <v>1403</v>
      </c>
      <c r="H179" s="59" t="s">
        <v>184</v>
      </c>
      <c r="I179" s="62" t="s">
        <v>1404</v>
      </c>
      <c r="J179" s="60" t="s">
        <v>190</v>
      </c>
      <c r="K179" s="64" t="s">
        <v>1405</v>
      </c>
      <c r="L179" s="59" t="s">
        <v>184</v>
      </c>
      <c r="M179" s="62" t="s">
        <v>1346</v>
      </c>
      <c r="N179" s="59" t="s">
        <v>184</v>
      </c>
      <c r="O179" s="12" t="s">
        <v>189</v>
      </c>
    </row>
    <row r="181" spans="1:15" ht="357" customHeight="1" x14ac:dyDescent="0.35">
      <c r="A181" s="63" t="s">
        <v>1537</v>
      </c>
      <c r="B181" s="10" t="s">
        <v>184</v>
      </c>
      <c r="C181" s="53" t="s">
        <v>1544</v>
      </c>
      <c r="D181" s="10" t="s">
        <v>184</v>
      </c>
      <c r="E181" s="53" t="s">
        <v>1544</v>
      </c>
      <c r="F181" s="10" t="s">
        <v>184</v>
      </c>
      <c r="G181" s="53" t="s">
        <v>1545</v>
      </c>
      <c r="H181" s="10" t="s">
        <v>184</v>
      </c>
      <c r="I181" s="53" t="s">
        <v>1546</v>
      </c>
      <c r="J181" s="10" t="s">
        <v>184</v>
      </c>
      <c r="K181" s="53" t="s">
        <v>1547</v>
      </c>
      <c r="L181" s="10" t="s">
        <v>184</v>
      </c>
      <c r="M181" s="53" t="s">
        <v>1346</v>
      </c>
      <c r="N181" s="10" t="s">
        <v>184</v>
      </c>
      <c r="O181" s="9" t="s">
        <v>189</v>
      </c>
    </row>
    <row r="183" spans="1:15" ht="261" x14ac:dyDescent="0.35">
      <c r="A183" s="63" t="s">
        <v>1658</v>
      </c>
      <c r="B183" s="59" t="s">
        <v>184</v>
      </c>
      <c r="C183" s="62" t="s">
        <v>1552</v>
      </c>
      <c r="D183" s="59" t="s">
        <v>184</v>
      </c>
      <c r="E183" s="62" t="s">
        <v>1553</v>
      </c>
      <c r="F183" s="59" t="s">
        <v>184</v>
      </c>
      <c r="G183" s="62" t="s">
        <v>1554</v>
      </c>
      <c r="H183" s="59" t="s">
        <v>184</v>
      </c>
      <c r="I183" s="62" t="s">
        <v>1555</v>
      </c>
      <c r="J183" s="57" t="s">
        <v>30</v>
      </c>
      <c r="K183" s="58" t="s">
        <v>1556</v>
      </c>
      <c r="L183" s="59" t="s">
        <v>184</v>
      </c>
      <c r="M183" s="62" t="s">
        <v>1346</v>
      </c>
      <c r="N183" s="59" t="s">
        <v>184</v>
      </c>
      <c r="O183" s="12" t="s">
        <v>189</v>
      </c>
    </row>
    <row r="185" spans="1:15" ht="203" x14ac:dyDescent="0.35">
      <c r="A185" s="191" t="s">
        <v>1563</v>
      </c>
      <c r="B185" s="10" t="s">
        <v>184</v>
      </c>
      <c r="C185" s="53" t="s">
        <v>1567</v>
      </c>
      <c r="D185" s="10" t="s">
        <v>184</v>
      </c>
      <c r="E185" s="53" t="s">
        <v>1567</v>
      </c>
      <c r="F185" s="10" t="s">
        <v>184</v>
      </c>
      <c r="G185" s="53" t="s">
        <v>1572</v>
      </c>
      <c r="H185" s="10" t="s">
        <v>184</v>
      </c>
      <c r="I185" s="53" t="s">
        <v>1571</v>
      </c>
      <c r="J185" s="10" t="s">
        <v>184</v>
      </c>
      <c r="K185" s="53" t="s">
        <v>1547</v>
      </c>
      <c r="L185" s="10" t="s">
        <v>184</v>
      </c>
      <c r="M185" s="53" t="s">
        <v>1346</v>
      </c>
      <c r="N185" s="10" t="s">
        <v>184</v>
      </c>
      <c r="O185" s="9" t="s">
        <v>189</v>
      </c>
    </row>
    <row r="187" spans="1:15" ht="203" x14ac:dyDescent="0.35">
      <c r="A187" s="191" t="s">
        <v>1568</v>
      </c>
      <c r="B187" s="10" t="s">
        <v>184</v>
      </c>
      <c r="C187" s="53" t="s">
        <v>1567</v>
      </c>
      <c r="D187" s="10" t="s">
        <v>184</v>
      </c>
      <c r="E187" s="53" t="s">
        <v>1567</v>
      </c>
      <c r="F187" s="10" t="s">
        <v>184</v>
      </c>
      <c r="G187" s="53" t="s">
        <v>1572</v>
      </c>
      <c r="H187" s="10" t="s">
        <v>184</v>
      </c>
      <c r="I187" s="53" t="s">
        <v>1571</v>
      </c>
      <c r="J187" s="10" t="s">
        <v>184</v>
      </c>
      <c r="K187" s="53" t="s">
        <v>1547</v>
      </c>
      <c r="L187" s="10" t="s">
        <v>184</v>
      </c>
      <c r="M187" s="53" t="s">
        <v>1346</v>
      </c>
      <c r="N187" s="10" t="s">
        <v>184</v>
      </c>
      <c r="O187" s="9" t="s">
        <v>189</v>
      </c>
    </row>
    <row r="189" spans="1:15" ht="87" x14ac:dyDescent="0.35">
      <c r="A189" s="191" t="s">
        <v>1558</v>
      </c>
      <c r="B189" s="27" t="s">
        <v>30</v>
      </c>
      <c r="C189" s="31" t="s">
        <v>1581</v>
      </c>
      <c r="D189" s="29" t="s">
        <v>190</v>
      </c>
      <c r="E189" s="30" t="s">
        <v>1582</v>
      </c>
      <c r="F189" s="29" t="s">
        <v>190</v>
      </c>
      <c r="G189" s="30" t="s">
        <v>1583</v>
      </c>
      <c r="H189" s="29" t="s">
        <v>190</v>
      </c>
      <c r="I189" s="30" t="s">
        <v>1583</v>
      </c>
      <c r="J189" s="27" t="s">
        <v>30</v>
      </c>
      <c r="K189" s="31" t="s">
        <v>1582</v>
      </c>
      <c r="L189" s="27" t="s">
        <v>30</v>
      </c>
      <c r="M189" s="31" t="s">
        <v>447</v>
      </c>
      <c r="N189" s="27" t="s">
        <v>30</v>
      </c>
      <c r="O189" s="34" t="s">
        <v>1584</v>
      </c>
    </row>
    <row r="191" spans="1:15" ht="174" x14ac:dyDescent="0.35">
      <c r="A191" s="63" t="s">
        <v>1585</v>
      </c>
      <c r="B191" s="59" t="s">
        <v>184</v>
      </c>
      <c r="C191" s="62" t="s">
        <v>1596</v>
      </c>
      <c r="D191" s="59" t="s">
        <v>184</v>
      </c>
      <c r="E191" s="62" t="s">
        <v>1596</v>
      </c>
      <c r="F191" s="59" t="s">
        <v>184</v>
      </c>
      <c r="G191" s="62" t="s">
        <v>1597</v>
      </c>
      <c r="H191" s="59" t="s">
        <v>184</v>
      </c>
      <c r="I191" s="62" t="s">
        <v>1597</v>
      </c>
      <c r="J191" s="10" t="s">
        <v>184</v>
      </c>
      <c r="K191" s="53" t="s">
        <v>1547</v>
      </c>
      <c r="L191" s="10" t="s">
        <v>184</v>
      </c>
      <c r="M191" s="53" t="s">
        <v>1346</v>
      </c>
      <c r="N191" s="10" t="s">
        <v>184</v>
      </c>
      <c r="O191" s="9" t="s">
        <v>189</v>
      </c>
    </row>
    <row r="193" spans="1:15" ht="101.5" x14ac:dyDescent="0.35">
      <c r="A193" s="63" t="s">
        <v>1599</v>
      </c>
      <c r="B193" s="59" t="s">
        <v>184</v>
      </c>
      <c r="C193" s="62" t="s">
        <v>1607</v>
      </c>
      <c r="D193" s="59" t="s">
        <v>184</v>
      </c>
      <c r="E193" s="62" t="s">
        <v>1607</v>
      </c>
      <c r="F193" s="59" t="s">
        <v>184</v>
      </c>
      <c r="G193" s="62" t="s">
        <v>1608</v>
      </c>
      <c r="H193" s="59" t="s">
        <v>184</v>
      </c>
      <c r="I193" s="62" t="s">
        <v>1608</v>
      </c>
      <c r="J193" s="60" t="s">
        <v>190</v>
      </c>
      <c r="K193" s="64" t="s">
        <v>1609</v>
      </c>
      <c r="L193" s="10" t="s">
        <v>184</v>
      </c>
      <c r="M193" s="53" t="s">
        <v>1346</v>
      </c>
      <c r="N193" s="10" t="s">
        <v>184</v>
      </c>
      <c r="O193" s="9" t="s">
        <v>189</v>
      </c>
    </row>
    <row r="195" spans="1:15" ht="101.5" x14ac:dyDescent="0.35">
      <c r="A195" s="63" t="s">
        <v>1875</v>
      </c>
      <c r="B195" s="59" t="s">
        <v>184</v>
      </c>
      <c r="C195" s="62" t="s">
        <v>1612</v>
      </c>
      <c r="D195" s="59" t="s">
        <v>184</v>
      </c>
      <c r="E195" s="62" t="s">
        <v>1612</v>
      </c>
      <c r="F195" s="59" t="s">
        <v>184</v>
      </c>
      <c r="G195" s="62" t="s">
        <v>1613</v>
      </c>
      <c r="H195" s="59" t="s">
        <v>184</v>
      </c>
      <c r="I195" s="62" t="s">
        <v>1613</v>
      </c>
      <c r="J195" s="10" t="s">
        <v>184</v>
      </c>
      <c r="K195" s="53" t="s">
        <v>1547</v>
      </c>
      <c r="L195" s="10" t="s">
        <v>184</v>
      </c>
      <c r="M195" s="53" t="s">
        <v>1346</v>
      </c>
      <c r="N195" s="10" t="s">
        <v>184</v>
      </c>
      <c r="O195" s="9" t="s">
        <v>189</v>
      </c>
    </row>
    <row r="197" spans="1:15" ht="116" x14ac:dyDescent="0.35">
      <c r="A197" s="63" t="s">
        <v>1614</v>
      </c>
      <c r="B197" s="59" t="s">
        <v>184</v>
      </c>
      <c r="C197" s="62" t="s">
        <v>1619</v>
      </c>
      <c r="D197" s="59" t="s">
        <v>184</v>
      </c>
      <c r="E197" s="62" t="s">
        <v>1619</v>
      </c>
      <c r="F197" s="59" t="s">
        <v>184</v>
      </c>
      <c r="G197" s="62" t="s">
        <v>1620</v>
      </c>
      <c r="H197" s="59" t="s">
        <v>184</v>
      </c>
      <c r="I197" s="62" t="s">
        <v>1620</v>
      </c>
      <c r="J197" s="10" t="s">
        <v>184</v>
      </c>
      <c r="K197" s="53" t="s">
        <v>1547</v>
      </c>
      <c r="L197" s="10" t="s">
        <v>184</v>
      </c>
      <c r="M197" s="53" t="s">
        <v>1346</v>
      </c>
      <c r="N197" s="10" t="s">
        <v>184</v>
      </c>
      <c r="O197" s="9" t="s">
        <v>189</v>
      </c>
    </row>
    <row r="199" spans="1:15" ht="209.25" customHeight="1" x14ac:dyDescent="0.35">
      <c r="A199" s="63" t="s">
        <v>1662</v>
      </c>
      <c r="B199" s="59" t="s">
        <v>184</v>
      </c>
      <c r="C199" s="62" t="s">
        <v>1665</v>
      </c>
      <c r="D199" s="59" t="s">
        <v>184</v>
      </c>
      <c r="E199" s="62" t="s">
        <v>1665</v>
      </c>
      <c r="F199" s="59" t="s">
        <v>184</v>
      </c>
      <c r="G199" s="62" t="s">
        <v>1683</v>
      </c>
      <c r="H199" s="59" t="s">
        <v>184</v>
      </c>
      <c r="I199" s="62" t="s">
        <v>1683</v>
      </c>
      <c r="J199" s="57" t="s">
        <v>1715</v>
      </c>
      <c r="K199" s="58" t="s">
        <v>1667</v>
      </c>
      <c r="L199" s="59" t="s">
        <v>184</v>
      </c>
      <c r="M199" s="62" t="s">
        <v>1346</v>
      </c>
      <c r="N199" s="57" t="s">
        <v>190</v>
      </c>
      <c r="O199" s="58" t="s">
        <v>1666</v>
      </c>
    </row>
    <row r="201" spans="1:15" ht="232" x14ac:dyDescent="0.35">
      <c r="A201" s="63" t="s">
        <v>1668</v>
      </c>
      <c r="B201" s="59" t="s">
        <v>184</v>
      </c>
      <c r="C201" s="62" t="s">
        <v>1682</v>
      </c>
      <c r="D201" s="59" t="s">
        <v>184</v>
      </c>
      <c r="E201" s="62" t="s">
        <v>1682</v>
      </c>
      <c r="F201" s="59" t="s">
        <v>184</v>
      </c>
      <c r="G201" s="62" t="s">
        <v>1685</v>
      </c>
      <c r="H201" s="59" t="s">
        <v>184</v>
      </c>
      <c r="I201" s="62" t="s">
        <v>1684</v>
      </c>
      <c r="J201" s="57" t="s">
        <v>30</v>
      </c>
      <c r="K201" s="58" t="s">
        <v>1716</v>
      </c>
      <c r="L201" s="59" t="s">
        <v>184</v>
      </c>
      <c r="M201" s="62" t="s">
        <v>1346</v>
      </c>
      <c r="N201" s="59" t="s">
        <v>184</v>
      </c>
      <c r="O201" s="9" t="s">
        <v>189</v>
      </c>
    </row>
    <row r="203" spans="1:15" ht="290" x14ac:dyDescent="0.35">
      <c r="A203" s="63" t="s">
        <v>1686</v>
      </c>
      <c r="B203" s="59" t="s">
        <v>184</v>
      </c>
      <c r="C203" s="62" t="s">
        <v>1703</v>
      </c>
      <c r="D203" s="59" t="s">
        <v>184</v>
      </c>
      <c r="E203" s="62" t="s">
        <v>1704</v>
      </c>
      <c r="F203" s="59" t="s">
        <v>184</v>
      </c>
      <c r="G203" s="62" t="s">
        <v>1704</v>
      </c>
      <c r="H203" s="59" t="s">
        <v>184</v>
      </c>
      <c r="I203" s="62" t="s">
        <v>1705</v>
      </c>
      <c r="J203" s="59" t="s">
        <v>184</v>
      </c>
      <c r="K203" s="62" t="s">
        <v>1706</v>
      </c>
      <c r="L203" s="59" t="s">
        <v>184</v>
      </c>
      <c r="M203" s="62" t="s">
        <v>1707</v>
      </c>
      <c r="N203" s="59" t="s">
        <v>184</v>
      </c>
      <c r="O203" s="9" t="s">
        <v>189</v>
      </c>
    </row>
    <row r="205" spans="1:15" ht="304.5" x14ac:dyDescent="0.35">
      <c r="A205" s="63" t="s">
        <v>1723</v>
      </c>
      <c r="B205" s="59" t="s">
        <v>184</v>
      </c>
      <c r="C205" s="62" t="s">
        <v>1856</v>
      </c>
      <c r="D205" s="59" t="s">
        <v>184</v>
      </c>
      <c r="E205" s="62" t="s">
        <v>1856</v>
      </c>
      <c r="F205" s="59" t="s">
        <v>184</v>
      </c>
      <c r="G205" s="62" t="s">
        <v>1734</v>
      </c>
      <c r="H205" s="59" t="s">
        <v>184</v>
      </c>
      <c r="I205" s="62" t="s">
        <v>1734</v>
      </c>
      <c r="J205" s="59" t="s">
        <v>184</v>
      </c>
      <c r="K205" s="62" t="s">
        <v>1735</v>
      </c>
      <c r="L205" s="59" t="s">
        <v>184</v>
      </c>
      <c r="M205" s="62" t="s">
        <v>795</v>
      </c>
      <c r="N205" s="59" t="s">
        <v>184</v>
      </c>
      <c r="O205" s="9" t="s">
        <v>189</v>
      </c>
    </row>
    <row r="207" spans="1:15" ht="159.5" x14ac:dyDescent="0.35">
      <c r="A207" s="63" t="s">
        <v>1738</v>
      </c>
      <c r="B207" s="59" t="s">
        <v>184</v>
      </c>
      <c r="C207" s="62" t="s">
        <v>1751</v>
      </c>
      <c r="D207" s="59" t="s">
        <v>184</v>
      </c>
      <c r="E207" s="62" t="s">
        <v>1751</v>
      </c>
      <c r="F207" s="60" t="s">
        <v>190</v>
      </c>
      <c r="G207" s="64" t="s">
        <v>1752</v>
      </c>
      <c r="H207" s="10" t="s">
        <v>184</v>
      </c>
      <c r="I207" s="53" t="s">
        <v>1858</v>
      </c>
      <c r="J207" s="57" t="s">
        <v>30</v>
      </c>
      <c r="K207" s="58" t="s">
        <v>1753</v>
      </c>
      <c r="L207" s="59" t="s">
        <v>184</v>
      </c>
      <c r="M207" s="62" t="s">
        <v>1221</v>
      </c>
      <c r="N207" s="59" t="s">
        <v>184</v>
      </c>
      <c r="O207" s="9" t="s">
        <v>189</v>
      </c>
    </row>
    <row r="209" spans="1:15" ht="58" x14ac:dyDescent="0.35">
      <c r="A209" s="63" t="s">
        <v>1754</v>
      </c>
      <c r="B209" s="59" t="s">
        <v>184</v>
      </c>
      <c r="C209" s="62" t="s">
        <v>1859</v>
      </c>
      <c r="D209" s="59" t="s">
        <v>184</v>
      </c>
      <c r="E209" s="62" t="s">
        <v>1859</v>
      </c>
      <c r="F209" s="59" t="s">
        <v>184</v>
      </c>
      <c r="G209" s="62" t="s">
        <v>1766</v>
      </c>
      <c r="H209" s="59" t="s">
        <v>184</v>
      </c>
      <c r="I209" s="62" t="s">
        <v>1766</v>
      </c>
      <c r="J209" s="59" t="s">
        <v>184</v>
      </c>
      <c r="K209" s="62" t="s">
        <v>1767</v>
      </c>
      <c r="L209" s="59" t="s">
        <v>184</v>
      </c>
      <c r="M209" s="62" t="s">
        <v>1221</v>
      </c>
      <c r="N209" s="59" t="s">
        <v>184</v>
      </c>
      <c r="O209" s="9" t="s">
        <v>189</v>
      </c>
    </row>
    <row r="211" spans="1:15" ht="87" x14ac:dyDescent="0.35">
      <c r="A211" s="63" t="s">
        <v>2195</v>
      </c>
      <c r="B211" s="59" t="s">
        <v>184</v>
      </c>
      <c r="C211" s="62" t="s">
        <v>1772</v>
      </c>
      <c r="D211" s="59" t="s">
        <v>184</v>
      </c>
      <c r="E211" s="62" t="s">
        <v>1772</v>
      </c>
      <c r="F211" s="59" t="s">
        <v>184</v>
      </c>
      <c r="G211" s="62" t="s">
        <v>1773</v>
      </c>
      <c r="H211" s="59" t="s">
        <v>184</v>
      </c>
      <c r="I211" s="62" t="s">
        <v>211</v>
      </c>
      <c r="J211" s="60" t="s">
        <v>190</v>
      </c>
      <c r="K211" s="64" t="s">
        <v>1774</v>
      </c>
      <c r="L211" s="59" t="s">
        <v>184</v>
      </c>
      <c r="M211" s="62" t="s">
        <v>1221</v>
      </c>
      <c r="N211" s="59" t="s">
        <v>184</v>
      </c>
      <c r="O211" s="9" t="s">
        <v>189</v>
      </c>
    </row>
    <row r="213" spans="1:15" ht="87" x14ac:dyDescent="0.35">
      <c r="A213" s="63" t="s">
        <v>2245</v>
      </c>
      <c r="B213" s="59" t="s">
        <v>184</v>
      </c>
      <c r="C213" s="62" t="s">
        <v>1779</v>
      </c>
      <c r="D213" s="59" t="s">
        <v>184</v>
      </c>
      <c r="E213" s="62" t="s">
        <v>1779</v>
      </c>
      <c r="F213" s="59" t="s">
        <v>184</v>
      </c>
      <c r="G213" s="62" t="s">
        <v>1780</v>
      </c>
      <c r="H213" s="59" t="s">
        <v>184</v>
      </c>
      <c r="I213" s="62" t="s">
        <v>1780</v>
      </c>
      <c r="J213" s="59" t="s">
        <v>184</v>
      </c>
      <c r="K213" s="53" t="s">
        <v>1547</v>
      </c>
      <c r="L213" s="59" t="s">
        <v>184</v>
      </c>
      <c r="M213" s="62" t="s">
        <v>1221</v>
      </c>
      <c r="N213" s="59" t="s">
        <v>184</v>
      </c>
      <c r="O213" s="9" t="s">
        <v>189</v>
      </c>
    </row>
    <row r="215" spans="1:15" ht="232" x14ac:dyDescent="0.35">
      <c r="A215" s="63" t="s">
        <v>1783</v>
      </c>
      <c r="B215" s="59" t="s">
        <v>184</v>
      </c>
      <c r="C215" s="62" t="s">
        <v>1790</v>
      </c>
      <c r="D215" s="59" t="s">
        <v>184</v>
      </c>
      <c r="E215" s="62" t="s">
        <v>1862</v>
      </c>
      <c r="F215" s="59" t="s">
        <v>184</v>
      </c>
      <c r="G215" s="62" t="s">
        <v>1863</v>
      </c>
      <c r="H215" s="59" t="s">
        <v>184</v>
      </c>
      <c r="I215" s="53" t="s">
        <v>1861</v>
      </c>
      <c r="J215" s="29" t="s">
        <v>190</v>
      </c>
      <c r="K215" s="30" t="s">
        <v>1860</v>
      </c>
      <c r="L215" s="59" t="s">
        <v>184</v>
      </c>
      <c r="M215" s="62" t="s">
        <v>1221</v>
      </c>
      <c r="N215" s="59" t="s">
        <v>184</v>
      </c>
      <c r="O215" s="9" t="s">
        <v>189</v>
      </c>
    </row>
    <row r="217" spans="1:15" ht="159.5" x14ac:dyDescent="0.35">
      <c r="A217" s="63" t="s">
        <v>1796</v>
      </c>
      <c r="B217" s="59" t="s">
        <v>184</v>
      </c>
      <c r="C217" s="62" t="s">
        <v>1802</v>
      </c>
      <c r="D217" s="59" t="s">
        <v>184</v>
      </c>
      <c r="E217" s="62" t="s">
        <v>1802</v>
      </c>
      <c r="F217" s="59" t="s">
        <v>184</v>
      </c>
      <c r="G217" s="62" t="s">
        <v>1803</v>
      </c>
      <c r="H217" s="59" t="s">
        <v>184</v>
      </c>
      <c r="I217" s="62" t="s">
        <v>1803</v>
      </c>
      <c r="J217" s="59" t="s">
        <v>184</v>
      </c>
      <c r="K217" s="62" t="s">
        <v>1781</v>
      </c>
      <c r="L217" s="59" t="s">
        <v>184</v>
      </c>
      <c r="M217" s="62" t="s">
        <v>1221</v>
      </c>
      <c r="N217" s="59" t="s">
        <v>184</v>
      </c>
      <c r="O217" s="9" t="s">
        <v>189</v>
      </c>
    </row>
    <row r="219" spans="1:15" ht="203" x14ac:dyDescent="0.35">
      <c r="A219" s="63" t="s">
        <v>1877</v>
      </c>
      <c r="B219" s="59" t="s">
        <v>184</v>
      </c>
      <c r="C219" s="62" t="s">
        <v>1881</v>
      </c>
      <c r="D219" s="59" t="s">
        <v>184</v>
      </c>
      <c r="E219" s="62" t="s">
        <v>1881</v>
      </c>
      <c r="F219" s="59" t="s">
        <v>184</v>
      </c>
      <c r="G219" s="62" t="s">
        <v>1811</v>
      </c>
      <c r="H219" s="59" t="s">
        <v>184</v>
      </c>
      <c r="I219" s="62" t="s">
        <v>1811</v>
      </c>
      <c r="J219" s="59" t="s">
        <v>184</v>
      </c>
      <c r="K219" s="62" t="s">
        <v>1781</v>
      </c>
      <c r="L219" s="59" t="s">
        <v>184</v>
      </c>
      <c r="M219" s="62" t="s">
        <v>1221</v>
      </c>
      <c r="N219" s="59" t="s">
        <v>184</v>
      </c>
      <c r="O219" s="9" t="s">
        <v>189</v>
      </c>
    </row>
    <row r="221" spans="1:15" x14ac:dyDescent="0.35">
      <c r="A221" s="63" t="s">
        <v>1812</v>
      </c>
      <c r="B221" s="57" t="s">
        <v>30</v>
      </c>
      <c r="C221" s="58" t="s">
        <v>449</v>
      </c>
      <c r="D221" s="57" t="s">
        <v>30</v>
      </c>
      <c r="E221" s="58" t="s">
        <v>449</v>
      </c>
      <c r="F221" s="60" t="s">
        <v>190</v>
      </c>
      <c r="G221" s="64" t="s">
        <v>203</v>
      </c>
      <c r="H221" s="60" t="s">
        <v>190</v>
      </c>
      <c r="I221" s="64" t="s">
        <v>203</v>
      </c>
      <c r="J221" s="59" t="s">
        <v>184</v>
      </c>
      <c r="K221" s="62" t="s">
        <v>1781</v>
      </c>
      <c r="L221" s="57" t="s">
        <v>30</v>
      </c>
      <c r="M221" s="58" t="s">
        <v>1830</v>
      </c>
      <c r="N221" s="57" t="s">
        <v>30</v>
      </c>
      <c r="O221" s="34" t="s">
        <v>1823</v>
      </c>
    </row>
    <row r="223" spans="1:15" ht="232" x14ac:dyDescent="0.35">
      <c r="A223" s="63" t="s">
        <v>1825</v>
      </c>
      <c r="B223" s="59" t="s">
        <v>184</v>
      </c>
      <c r="C223" s="62" t="s">
        <v>1837</v>
      </c>
      <c r="D223" s="59" t="s">
        <v>184</v>
      </c>
      <c r="E223" s="62" t="s">
        <v>1837</v>
      </c>
      <c r="F223" s="59" t="s">
        <v>184</v>
      </c>
      <c r="G223" s="62" t="s">
        <v>1838</v>
      </c>
      <c r="H223" s="59" t="s">
        <v>184</v>
      </c>
      <c r="I223" s="62" t="s">
        <v>1838</v>
      </c>
      <c r="J223" s="60" t="s">
        <v>190</v>
      </c>
      <c r="K223" s="64" t="s">
        <v>1864</v>
      </c>
      <c r="L223" s="59" t="s">
        <v>184</v>
      </c>
      <c r="M223" s="62" t="s">
        <v>1839</v>
      </c>
      <c r="N223" s="59" t="s">
        <v>184</v>
      </c>
      <c r="O223" s="9" t="s">
        <v>189</v>
      </c>
    </row>
    <row r="225" spans="1:15" ht="203" x14ac:dyDescent="0.35">
      <c r="A225" s="272" t="s">
        <v>1841</v>
      </c>
      <c r="B225" s="59" t="s">
        <v>184</v>
      </c>
      <c r="C225" s="62" t="s">
        <v>1853</v>
      </c>
      <c r="D225" s="59" t="s">
        <v>184</v>
      </c>
      <c r="E225" s="62" t="s">
        <v>1853</v>
      </c>
      <c r="F225" s="59" t="s">
        <v>184</v>
      </c>
      <c r="G225" s="62" t="s">
        <v>1853</v>
      </c>
      <c r="H225" s="59" t="s">
        <v>184</v>
      </c>
      <c r="I225" s="62" t="s">
        <v>1853</v>
      </c>
      <c r="J225" s="59" t="s">
        <v>184</v>
      </c>
      <c r="K225" s="62" t="s">
        <v>1781</v>
      </c>
      <c r="L225" s="59" t="s">
        <v>184</v>
      </c>
      <c r="M225" s="62" t="s">
        <v>1221</v>
      </c>
      <c r="N225" s="59" t="s">
        <v>184</v>
      </c>
      <c r="O225" s="9" t="s">
        <v>189</v>
      </c>
    </row>
    <row r="227" spans="1:15" ht="174" x14ac:dyDescent="0.35">
      <c r="A227" s="86" t="s">
        <v>1885</v>
      </c>
      <c r="B227" s="59" t="s">
        <v>184</v>
      </c>
      <c r="C227" s="62" t="s">
        <v>1893</v>
      </c>
      <c r="D227" s="59" t="s">
        <v>184</v>
      </c>
      <c r="E227" s="62" t="s">
        <v>1893</v>
      </c>
      <c r="F227" s="59" t="s">
        <v>184</v>
      </c>
      <c r="G227" s="449" t="s">
        <v>1894</v>
      </c>
      <c r="H227" s="59" t="s">
        <v>184</v>
      </c>
      <c r="I227" s="449" t="s">
        <v>1894</v>
      </c>
      <c r="J227" s="57" t="s">
        <v>30</v>
      </c>
      <c r="K227" s="58" t="s">
        <v>1895</v>
      </c>
      <c r="L227" s="57" t="s">
        <v>30</v>
      </c>
      <c r="M227" s="58" t="s">
        <v>1897</v>
      </c>
      <c r="N227" s="60" t="s">
        <v>190</v>
      </c>
      <c r="O227" s="450" t="s">
        <v>1896</v>
      </c>
    </row>
    <row r="229" spans="1:15" ht="159.5" x14ac:dyDescent="0.35">
      <c r="A229" s="63" t="s">
        <v>2182</v>
      </c>
      <c r="B229" s="59" t="s">
        <v>184</v>
      </c>
      <c r="C229" s="62" t="s">
        <v>1901</v>
      </c>
      <c r="D229" s="59" t="s">
        <v>184</v>
      </c>
      <c r="E229" s="62" t="s">
        <v>1901</v>
      </c>
      <c r="F229" s="59" t="s">
        <v>184</v>
      </c>
      <c r="G229" s="62" t="s">
        <v>1902</v>
      </c>
      <c r="H229" s="59" t="s">
        <v>184</v>
      </c>
      <c r="I229" s="62" t="s">
        <v>1902</v>
      </c>
      <c r="J229" s="59" t="s">
        <v>184</v>
      </c>
      <c r="K229" s="62" t="s">
        <v>1781</v>
      </c>
      <c r="L229" s="59" t="s">
        <v>184</v>
      </c>
      <c r="M229" s="62" t="s">
        <v>1221</v>
      </c>
      <c r="N229" s="59" t="s">
        <v>184</v>
      </c>
      <c r="O229" s="9" t="s">
        <v>189</v>
      </c>
    </row>
    <row r="231" spans="1:15" ht="261" x14ac:dyDescent="0.35">
      <c r="A231" s="63" t="s">
        <v>1916</v>
      </c>
      <c r="B231" s="59" t="s">
        <v>184</v>
      </c>
      <c r="C231" s="62" t="s">
        <v>1924</v>
      </c>
      <c r="D231" s="59" t="s">
        <v>184</v>
      </c>
      <c r="E231" s="62" t="s">
        <v>1924</v>
      </c>
      <c r="F231" s="59" t="s">
        <v>184</v>
      </c>
      <c r="G231" s="62" t="s">
        <v>1925</v>
      </c>
      <c r="H231" s="59" t="s">
        <v>184</v>
      </c>
      <c r="I231" s="62" t="s">
        <v>1925</v>
      </c>
      <c r="J231" s="57" t="s">
        <v>30</v>
      </c>
      <c r="K231" s="31" t="s">
        <v>2089</v>
      </c>
      <c r="L231" s="9" t="s">
        <v>184</v>
      </c>
      <c r="M231" s="53" t="s">
        <v>1221</v>
      </c>
      <c r="N231" s="9" t="s">
        <v>184</v>
      </c>
      <c r="O231" s="9" t="s">
        <v>189</v>
      </c>
    </row>
    <row r="233" spans="1:15" ht="159.5" x14ac:dyDescent="0.35">
      <c r="A233" s="86" t="s">
        <v>1926</v>
      </c>
      <c r="B233" s="59" t="s">
        <v>184</v>
      </c>
      <c r="C233" s="62" t="s">
        <v>1936</v>
      </c>
      <c r="D233" s="59" t="s">
        <v>184</v>
      </c>
      <c r="E233" s="62" t="s">
        <v>1936</v>
      </c>
      <c r="F233" s="59" t="s">
        <v>184</v>
      </c>
      <c r="G233" s="62" t="s">
        <v>1937</v>
      </c>
      <c r="H233" s="59" t="s">
        <v>184</v>
      </c>
      <c r="I233" s="62" t="s">
        <v>1937</v>
      </c>
      <c r="J233" s="59" t="s">
        <v>184</v>
      </c>
      <c r="K233" s="62" t="s">
        <v>1781</v>
      </c>
      <c r="L233" s="9" t="s">
        <v>184</v>
      </c>
      <c r="M233" s="53" t="s">
        <v>1221</v>
      </c>
      <c r="N233" s="9" t="s">
        <v>184</v>
      </c>
      <c r="O233" s="9" t="s">
        <v>189</v>
      </c>
    </row>
    <row r="235" spans="1:15" ht="246.5" x14ac:dyDescent="0.35">
      <c r="A235" s="63" t="s">
        <v>2065</v>
      </c>
      <c r="B235" s="57" t="s">
        <v>30</v>
      </c>
      <c r="C235" s="58" t="s">
        <v>2069</v>
      </c>
      <c r="D235" s="57" t="s">
        <v>30</v>
      </c>
      <c r="E235" s="58" t="s">
        <v>2069</v>
      </c>
      <c r="F235" s="59" t="s">
        <v>184</v>
      </c>
      <c r="G235" s="62" t="s">
        <v>2070</v>
      </c>
      <c r="H235" s="59" t="s">
        <v>184</v>
      </c>
      <c r="I235" s="62" t="s">
        <v>2070</v>
      </c>
      <c r="J235" s="59" t="s">
        <v>184</v>
      </c>
      <c r="K235" s="62" t="s">
        <v>1781</v>
      </c>
      <c r="L235" s="59" t="s">
        <v>184</v>
      </c>
      <c r="M235" s="62" t="s">
        <v>795</v>
      </c>
      <c r="N235" s="9" t="s">
        <v>184</v>
      </c>
      <c r="O235" s="9" t="s">
        <v>189</v>
      </c>
    </row>
    <row r="237" spans="1:15" ht="232" x14ac:dyDescent="0.35">
      <c r="A237" s="63" t="s">
        <v>2072</v>
      </c>
      <c r="B237" s="10" t="s">
        <v>184</v>
      </c>
      <c r="C237" s="53" t="s">
        <v>2081</v>
      </c>
      <c r="D237" s="12" t="s">
        <v>184</v>
      </c>
      <c r="E237" s="62" t="s">
        <v>2080</v>
      </c>
      <c r="F237" s="59" t="s">
        <v>184</v>
      </c>
      <c r="G237" s="62" t="s">
        <v>2082</v>
      </c>
      <c r="H237" s="59" t="s">
        <v>184</v>
      </c>
      <c r="I237" s="62" t="s">
        <v>2083</v>
      </c>
      <c r="J237" s="57" t="s">
        <v>30</v>
      </c>
      <c r="K237" s="58" t="s">
        <v>2084</v>
      </c>
      <c r="L237" s="59" t="s">
        <v>184</v>
      </c>
      <c r="M237" s="62" t="s">
        <v>795</v>
      </c>
      <c r="N237" s="9" t="s">
        <v>184</v>
      </c>
      <c r="O237" s="9" t="s">
        <v>189</v>
      </c>
    </row>
    <row r="239" spans="1:15" ht="43.5" x14ac:dyDescent="0.35">
      <c r="A239" s="86" t="s">
        <v>2100</v>
      </c>
      <c r="B239" s="57" t="s">
        <v>30</v>
      </c>
      <c r="C239" s="58" t="s">
        <v>2104</v>
      </c>
      <c r="D239" s="57" t="s">
        <v>30</v>
      </c>
      <c r="E239" s="58" t="s">
        <v>2104</v>
      </c>
      <c r="F239" s="57" t="s">
        <v>30</v>
      </c>
      <c r="G239" s="58" t="s">
        <v>2105</v>
      </c>
      <c r="H239" s="57" t="s">
        <v>30</v>
      </c>
      <c r="I239" s="58" t="s">
        <v>2106</v>
      </c>
      <c r="J239" s="59" t="s">
        <v>184</v>
      </c>
      <c r="K239" s="62" t="s">
        <v>2107</v>
      </c>
      <c r="L239" s="59" t="s">
        <v>184</v>
      </c>
      <c r="M239" s="62" t="s">
        <v>795</v>
      </c>
      <c r="N239" s="9" t="s">
        <v>184</v>
      </c>
      <c r="O239" s="9" t="s">
        <v>189</v>
      </c>
    </row>
    <row r="241" spans="1:15" ht="87" x14ac:dyDescent="0.35">
      <c r="A241" s="481" t="s">
        <v>2228</v>
      </c>
      <c r="B241" s="482" t="s">
        <v>184</v>
      </c>
      <c r="C241" s="483" t="s">
        <v>2232</v>
      </c>
      <c r="D241" s="482" t="s">
        <v>184</v>
      </c>
      <c r="E241" s="483" t="s">
        <v>2232</v>
      </c>
      <c r="F241" s="482" t="s">
        <v>184</v>
      </c>
      <c r="G241" s="483" t="s">
        <v>2233</v>
      </c>
      <c r="H241" s="482" t="s">
        <v>184</v>
      </c>
      <c r="I241" s="483" t="s">
        <v>2233</v>
      </c>
      <c r="J241" s="482" t="s">
        <v>184</v>
      </c>
      <c r="K241" s="483" t="s">
        <v>2234</v>
      </c>
      <c r="L241" s="484" t="s">
        <v>184</v>
      </c>
      <c r="M241" s="485" t="s">
        <v>795</v>
      </c>
      <c r="N241" s="486" t="s">
        <v>184</v>
      </c>
      <c r="O241" s="486" t="s">
        <v>189</v>
      </c>
    </row>
    <row r="243" spans="1:15" ht="159.5" x14ac:dyDescent="0.35">
      <c r="A243" s="63" t="s">
        <v>2120</v>
      </c>
      <c r="B243" s="57" t="s">
        <v>30</v>
      </c>
      <c r="C243" s="58" t="s">
        <v>2139</v>
      </c>
      <c r="D243" s="57" t="s">
        <v>30</v>
      </c>
      <c r="E243" s="58" t="s">
        <v>2139</v>
      </c>
      <c r="F243" s="59" t="s">
        <v>184</v>
      </c>
      <c r="G243" s="62" t="s">
        <v>2140</v>
      </c>
      <c r="H243" s="59" t="s">
        <v>184</v>
      </c>
      <c r="I243" s="62" t="s">
        <v>2140</v>
      </c>
      <c r="J243" s="59" t="s">
        <v>184</v>
      </c>
      <c r="K243" s="62" t="s">
        <v>1781</v>
      </c>
      <c r="L243" s="57" t="s">
        <v>30</v>
      </c>
      <c r="M243" s="58" t="s">
        <v>2141</v>
      </c>
      <c r="N243" s="57" t="s">
        <v>30</v>
      </c>
      <c r="O243" s="34" t="s">
        <v>2142</v>
      </c>
    </row>
    <row r="245" spans="1:15" ht="87" x14ac:dyDescent="0.35">
      <c r="A245" s="86" t="s">
        <v>2143</v>
      </c>
      <c r="B245" s="59" t="s">
        <v>184</v>
      </c>
      <c r="C245" s="62" t="s">
        <v>2147</v>
      </c>
      <c r="D245" s="59" t="s">
        <v>184</v>
      </c>
      <c r="E245" s="62" t="s">
        <v>2146</v>
      </c>
      <c r="F245" s="59" t="s">
        <v>184</v>
      </c>
      <c r="G245" s="62" t="s">
        <v>2148</v>
      </c>
      <c r="H245" s="59" t="s">
        <v>184</v>
      </c>
      <c r="I245" s="62" t="s">
        <v>2148</v>
      </c>
      <c r="J245" s="59" t="s">
        <v>184</v>
      </c>
      <c r="K245" s="62" t="s">
        <v>1781</v>
      </c>
      <c r="L245" s="59" t="s">
        <v>184</v>
      </c>
      <c r="M245" s="62" t="s">
        <v>795</v>
      </c>
      <c r="N245" s="59" t="s">
        <v>184</v>
      </c>
      <c r="O245" s="9" t="s">
        <v>189</v>
      </c>
    </row>
    <row r="247" spans="1:15" ht="58" x14ac:dyDescent="0.35">
      <c r="A247" s="481" t="s">
        <v>2236</v>
      </c>
      <c r="B247" s="482" t="s">
        <v>184</v>
      </c>
      <c r="C247" s="483" t="s">
        <v>2242</v>
      </c>
      <c r="D247" s="482" t="s">
        <v>184</v>
      </c>
      <c r="E247" s="483" t="s">
        <v>2242</v>
      </c>
      <c r="F247" s="482" t="s">
        <v>184</v>
      </c>
      <c r="G247" s="483" t="s">
        <v>2243</v>
      </c>
      <c r="H247" s="482" t="s">
        <v>184</v>
      </c>
      <c r="I247" s="483" t="s">
        <v>2243</v>
      </c>
      <c r="J247" s="482" t="s">
        <v>30</v>
      </c>
      <c r="K247" s="483" t="s">
        <v>2244</v>
      </c>
      <c r="L247" s="484" t="s">
        <v>184</v>
      </c>
      <c r="M247" s="485" t="s">
        <v>795</v>
      </c>
      <c r="N247" s="59" t="s">
        <v>184</v>
      </c>
      <c r="O247" s="9" t="s">
        <v>189</v>
      </c>
    </row>
    <row r="249" spans="1:15" ht="58" x14ac:dyDescent="0.35">
      <c r="A249" s="63" t="s">
        <v>2160</v>
      </c>
      <c r="B249" s="59" t="s">
        <v>184</v>
      </c>
      <c r="C249" s="62" t="s">
        <v>2165</v>
      </c>
      <c r="D249" s="59" t="s">
        <v>184</v>
      </c>
      <c r="E249" s="62" t="s">
        <v>2164</v>
      </c>
      <c r="F249" s="60" t="s">
        <v>190</v>
      </c>
      <c r="G249" s="64" t="s">
        <v>2166</v>
      </c>
      <c r="H249" s="60" t="s">
        <v>190</v>
      </c>
      <c r="I249" s="64" t="s">
        <v>2166</v>
      </c>
      <c r="J249" s="59" t="s">
        <v>184</v>
      </c>
      <c r="K249" s="62" t="s">
        <v>1781</v>
      </c>
      <c r="L249" s="59" t="s">
        <v>184</v>
      </c>
      <c r="M249" s="62" t="s">
        <v>795</v>
      </c>
      <c r="N249" s="59" t="s">
        <v>184</v>
      </c>
      <c r="O249" s="9" t="s">
        <v>189</v>
      </c>
    </row>
    <row r="251" spans="1:15" ht="333.5" x14ac:dyDescent="0.35">
      <c r="A251" s="63" t="s">
        <v>2170</v>
      </c>
      <c r="B251" s="59" t="s">
        <v>184</v>
      </c>
      <c r="C251" s="62" t="s">
        <v>2178</v>
      </c>
      <c r="D251" s="59" t="s">
        <v>184</v>
      </c>
      <c r="E251" s="62" t="s">
        <v>2178</v>
      </c>
      <c r="F251" s="59" t="s">
        <v>184</v>
      </c>
      <c r="G251" s="62" t="s">
        <v>2179</v>
      </c>
      <c r="H251" s="59" t="s">
        <v>184</v>
      </c>
      <c r="I251" s="62" t="s">
        <v>2179</v>
      </c>
      <c r="J251" s="59" t="s">
        <v>184</v>
      </c>
      <c r="K251" s="62" t="s">
        <v>2180</v>
      </c>
      <c r="L251" s="59" t="s">
        <v>184</v>
      </c>
      <c r="M251" s="62" t="s">
        <v>795</v>
      </c>
      <c r="N251" s="59" t="s">
        <v>184</v>
      </c>
      <c r="O251" s="9" t="s">
        <v>189</v>
      </c>
    </row>
    <row r="253" spans="1:15" ht="333.5" x14ac:dyDescent="0.35">
      <c r="A253" s="63" t="s">
        <v>2171</v>
      </c>
      <c r="B253" s="59" t="s">
        <v>184</v>
      </c>
      <c r="C253" s="62" t="s">
        <v>2178</v>
      </c>
      <c r="D253" s="59" t="s">
        <v>184</v>
      </c>
      <c r="E253" s="62" t="s">
        <v>2178</v>
      </c>
      <c r="F253" s="59" t="s">
        <v>184</v>
      </c>
      <c r="G253" s="62" t="s">
        <v>2179</v>
      </c>
      <c r="H253" s="59" t="s">
        <v>184</v>
      </c>
      <c r="I253" s="62" t="s">
        <v>2179</v>
      </c>
      <c r="J253" s="59" t="s">
        <v>184</v>
      </c>
      <c r="K253" s="62" t="s">
        <v>2180</v>
      </c>
      <c r="L253" s="59" t="s">
        <v>184</v>
      </c>
      <c r="M253" s="62" t="s">
        <v>795</v>
      </c>
      <c r="N253" s="59" t="s">
        <v>184</v>
      </c>
      <c r="O253" s="9" t="s">
        <v>189</v>
      </c>
    </row>
    <row r="255" spans="1:15" ht="159.5" x14ac:dyDescent="0.35">
      <c r="A255" s="63" t="s">
        <v>2202</v>
      </c>
      <c r="B255" s="6" t="s">
        <v>184</v>
      </c>
      <c r="C255" s="7" t="s">
        <v>2209</v>
      </c>
      <c r="D255" s="6" t="s">
        <v>184</v>
      </c>
      <c r="E255" s="7" t="s">
        <v>2209</v>
      </c>
      <c r="F255" s="6" t="s">
        <v>184</v>
      </c>
      <c r="G255" s="7" t="s">
        <v>2210</v>
      </c>
      <c r="H255" s="6" t="s">
        <v>184</v>
      </c>
      <c r="I255" s="7" t="s">
        <v>2210</v>
      </c>
      <c r="J255" s="6" t="s">
        <v>30</v>
      </c>
      <c r="K255" s="7" t="s">
        <v>2211</v>
      </c>
      <c r="L255" s="6" t="s">
        <v>184</v>
      </c>
      <c r="M255" s="7" t="s">
        <v>795</v>
      </c>
      <c r="N255" s="6" t="s">
        <v>184</v>
      </c>
      <c r="O255" s="2" t="s">
        <v>189</v>
      </c>
    </row>
    <row r="257" spans="1:15" ht="130.5" x14ac:dyDescent="0.35">
      <c r="A257" s="63" t="s">
        <v>2213</v>
      </c>
      <c r="B257" s="6" t="s">
        <v>184</v>
      </c>
      <c r="C257" s="7" t="s">
        <v>2224</v>
      </c>
      <c r="D257" s="6" t="s">
        <v>184</v>
      </c>
      <c r="E257" s="7" t="s">
        <v>2225</v>
      </c>
      <c r="F257" s="6" t="s">
        <v>184</v>
      </c>
      <c r="G257" s="7" t="s">
        <v>2222</v>
      </c>
      <c r="H257" s="6" t="s">
        <v>184</v>
      </c>
      <c r="I257" s="7" t="s">
        <v>2223</v>
      </c>
      <c r="J257" s="6" t="s">
        <v>30</v>
      </c>
      <c r="K257" s="7" t="s">
        <v>2226</v>
      </c>
      <c r="L257" s="6" t="s">
        <v>184</v>
      </c>
      <c r="M257" s="7" t="s">
        <v>795</v>
      </c>
      <c r="N257" s="6" t="s">
        <v>190</v>
      </c>
      <c r="O257" s="2" t="s">
        <v>2227</v>
      </c>
    </row>
  </sheetData>
  <mergeCells count="8">
    <mergeCell ref="I4:I5"/>
    <mergeCell ref="N2:O2"/>
    <mergeCell ref="B2:C2"/>
    <mergeCell ref="F2:G2"/>
    <mergeCell ref="D2:E2"/>
    <mergeCell ref="H2:I2"/>
    <mergeCell ref="J2:K2"/>
    <mergeCell ref="L2:M2"/>
  </mergeCells>
  <conditionalFormatting sqref="N110:N111">
    <cfRule type="colorScale" priority="1">
      <colorScale>
        <cfvo type="min"/>
        <cfvo type="percentile" val="50"/>
        <cfvo type="max"/>
        <color rgb="FFF8696B"/>
        <color rgb="FFFFEB84"/>
        <color rgb="FF63BE7B"/>
      </colorScale>
    </cfRule>
  </conditionalFormatting>
  <dataValidations count="2">
    <dataValidation type="list" allowBlank="1" showInputMessage="1" showErrorMessage="1" prompt="Enter a study from the drop down list" sqref="A150 A155 A225" xr:uid="{4D7E44EB-B8DE-4D42-82FD-979DB67EE884}">
      <formula1>Studies</formula1>
    </dataValidation>
    <dataValidation type="list" allowBlank="1" showInputMessage="1" showErrorMessage="1" prompt="Enter one study from the drop down list" sqref="A227 A233 A239 A245" xr:uid="{0F92808F-1005-4A9F-B30F-184B7B951F44}">
      <formula1>Studies</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8EF83-F60E-1B42-BC9E-81538397CB16}">
  <dimension ref="A1:G78"/>
  <sheetViews>
    <sheetView topLeftCell="A51" zoomScale="105" zoomScaleNormal="70" workbookViewId="0">
      <selection activeCell="C8" sqref="C8"/>
    </sheetView>
  </sheetViews>
  <sheetFormatPr defaultColWidth="11.453125" defaultRowHeight="14.5" x14ac:dyDescent="0.35"/>
  <cols>
    <col min="1" max="2" width="10.81640625"/>
    <col min="3" max="3" width="66" customWidth="1"/>
    <col min="4" max="4" width="22.453125" customWidth="1"/>
  </cols>
  <sheetData>
    <row r="1" spans="1:7" ht="15" thickBot="1" x14ac:dyDescent="0.4">
      <c r="A1" s="112" t="s">
        <v>964</v>
      </c>
      <c r="B1" s="112" t="s">
        <v>965</v>
      </c>
      <c r="C1" s="112" t="s">
        <v>966</v>
      </c>
      <c r="D1" s="112" t="s">
        <v>1008</v>
      </c>
      <c r="E1" s="112" t="s">
        <v>967</v>
      </c>
    </row>
    <row r="2" spans="1:7" ht="15" customHeight="1" x14ac:dyDescent="0.35">
      <c r="A2" t="s">
        <v>976</v>
      </c>
      <c r="B2" t="s">
        <v>904</v>
      </c>
      <c r="C2" s="26" t="s">
        <v>903</v>
      </c>
      <c r="D2" s="26" t="s">
        <v>129</v>
      </c>
    </row>
    <row r="3" spans="1:7" ht="15" customHeight="1" x14ac:dyDescent="0.35">
      <c r="A3" t="s">
        <v>976</v>
      </c>
      <c r="B3" t="s">
        <v>943</v>
      </c>
      <c r="C3" s="26" t="s">
        <v>0</v>
      </c>
      <c r="D3" s="26" t="s">
        <v>0</v>
      </c>
    </row>
    <row r="4" spans="1:7" ht="15" customHeight="1" x14ac:dyDescent="0.35">
      <c r="A4" t="s">
        <v>976</v>
      </c>
      <c r="B4" t="s">
        <v>942</v>
      </c>
      <c r="C4" s="26" t="s">
        <v>1</v>
      </c>
      <c r="D4" s="26" t="s">
        <v>1010</v>
      </c>
    </row>
    <row r="5" spans="1:7" ht="15" customHeight="1" x14ac:dyDescent="0.35">
      <c r="A5" t="s">
        <v>976</v>
      </c>
      <c r="B5" t="s">
        <v>944</v>
      </c>
      <c r="C5" s="26" t="s">
        <v>941</v>
      </c>
      <c r="D5" s="26" t="s">
        <v>1011</v>
      </c>
    </row>
    <row r="6" spans="1:7" ht="15" customHeight="1" x14ac:dyDescent="0.35">
      <c r="A6" t="s">
        <v>976</v>
      </c>
      <c r="B6" t="s">
        <v>954</v>
      </c>
      <c r="C6" s="26" t="s">
        <v>902</v>
      </c>
      <c r="D6" s="26" t="s">
        <v>1012</v>
      </c>
    </row>
    <row r="7" spans="1:7" ht="15" customHeight="1" x14ac:dyDescent="0.35">
      <c r="A7" t="s">
        <v>976</v>
      </c>
      <c r="B7" t="s">
        <v>946</v>
      </c>
      <c r="C7" s="26" t="s">
        <v>99</v>
      </c>
      <c r="D7" s="26" t="s">
        <v>99</v>
      </c>
      <c r="F7" s="1"/>
      <c r="G7" s="1"/>
    </row>
    <row r="8" spans="1:7" ht="15" customHeight="1" x14ac:dyDescent="0.35">
      <c r="A8" t="s">
        <v>976</v>
      </c>
      <c r="B8" t="s">
        <v>947</v>
      </c>
      <c r="C8" s="26" t="s">
        <v>6</v>
      </c>
      <c r="D8" s="26" t="s">
        <v>6</v>
      </c>
      <c r="F8" s="1"/>
      <c r="G8" s="1"/>
    </row>
    <row r="9" spans="1:7" ht="15" customHeight="1" x14ac:dyDescent="0.35">
      <c r="A9" t="s">
        <v>976</v>
      </c>
      <c r="B9" t="s">
        <v>948</v>
      </c>
      <c r="C9" s="26" t="s">
        <v>7</v>
      </c>
      <c r="D9" s="26" t="s">
        <v>7</v>
      </c>
      <c r="F9" s="1"/>
      <c r="G9" s="1"/>
    </row>
    <row r="10" spans="1:7" ht="15" customHeight="1" x14ac:dyDescent="0.35">
      <c r="A10" t="s">
        <v>976</v>
      </c>
      <c r="B10" t="s">
        <v>949</v>
      </c>
      <c r="C10" s="26" t="s">
        <v>8</v>
      </c>
      <c r="D10" s="26" t="s">
        <v>8</v>
      </c>
      <c r="E10" s="1" t="s">
        <v>963</v>
      </c>
      <c r="F10" s="1"/>
      <c r="G10" s="1"/>
    </row>
    <row r="11" spans="1:7" ht="15" customHeight="1" x14ac:dyDescent="0.35">
      <c r="A11" t="s">
        <v>976</v>
      </c>
      <c r="B11" t="s">
        <v>950</v>
      </c>
      <c r="C11" s="2" t="s">
        <v>368</v>
      </c>
      <c r="D11" s="2" t="s">
        <v>1013</v>
      </c>
      <c r="F11" s="1"/>
      <c r="G11" s="1"/>
    </row>
    <row r="12" spans="1:7" ht="15" customHeight="1" x14ac:dyDescent="0.35">
      <c r="A12" t="s">
        <v>976</v>
      </c>
      <c r="B12" t="s">
        <v>951</v>
      </c>
      <c r="C12" s="26" t="s">
        <v>3</v>
      </c>
      <c r="D12" s="26" t="s">
        <v>1014</v>
      </c>
      <c r="F12" s="1"/>
      <c r="G12" s="1"/>
    </row>
    <row r="13" spans="1:7" ht="15" customHeight="1" x14ac:dyDescent="0.35">
      <c r="A13" t="s">
        <v>976</v>
      </c>
      <c r="B13" t="s">
        <v>952</v>
      </c>
      <c r="C13" s="26" t="s">
        <v>4</v>
      </c>
      <c r="D13" s="26" t="s">
        <v>1016</v>
      </c>
    </row>
    <row r="14" spans="1:7" ht="15" customHeight="1" x14ac:dyDescent="0.35">
      <c r="A14" t="s">
        <v>976</v>
      </c>
      <c r="B14" t="s">
        <v>953</v>
      </c>
      <c r="C14" s="26" t="s">
        <v>739</v>
      </c>
      <c r="D14" s="26" t="s">
        <v>739</v>
      </c>
    </row>
    <row r="15" spans="1:7" ht="15" customHeight="1" x14ac:dyDescent="0.35">
      <c r="A15" t="s">
        <v>976</v>
      </c>
      <c r="B15" t="s">
        <v>955</v>
      </c>
      <c r="C15" s="26" t="s">
        <v>5</v>
      </c>
      <c r="D15" s="26" t="s">
        <v>5</v>
      </c>
    </row>
    <row r="16" spans="1:7" ht="15" customHeight="1" x14ac:dyDescent="0.35">
      <c r="A16" t="s">
        <v>976</v>
      </c>
      <c r="B16" t="s">
        <v>956</v>
      </c>
      <c r="C16" s="2" t="s">
        <v>968</v>
      </c>
      <c r="D16" s="2" t="s">
        <v>1017</v>
      </c>
    </row>
    <row r="17" spans="1:4" ht="15" customHeight="1" x14ac:dyDescent="0.35">
      <c r="A17" t="s">
        <v>976</v>
      </c>
      <c r="B17" t="s">
        <v>957</v>
      </c>
      <c r="C17" s="2" t="s">
        <v>969</v>
      </c>
      <c r="D17" s="2" t="s">
        <v>1018</v>
      </c>
    </row>
    <row r="18" spans="1:4" ht="15" customHeight="1" x14ac:dyDescent="0.35">
      <c r="A18" t="s">
        <v>976</v>
      </c>
      <c r="B18" t="s">
        <v>958</v>
      </c>
      <c r="C18" s="2" t="s">
        <v>970</v>
      </c>
      <c r="D18" s="2" t="s">
        <v>1019</v>
      </c>
    </row>
    <row r="19" spans="1:4" ht="15" customHeight="1" x14ac:dyDescent="0.35">
      <c r="A19" t="s">
        <v>976</v>
      </c>
      <c r="B19" t="s">
        <v>959</v>
      </c>
      <c r="C19" s="2" t="s">
        <v>971</v>
      </c>
      <c r="D19" s="2" t="s">
        <v>1020</v>
      </c>
    </row>
    <row r="20" spans="1:4" ht="15" customHeight="1" x14ac:dyDescent="0.35">
      <c r="A20" t="s">
        <v>976</v>
      </c>
      <c r="B20" t="s">
        <v>960</v>
      </c>
      <c r="C20" s="2" t="s">
        <v>972</v>
      </c>
      <c r="D20" s="2" t="s">
        <v>1021</v>
      </c>
    </row>
    <row r="21" spans="1:4" ht="15" customHeight="1" x14ac:dyDescent="0.35">
      <c r="A21" t="s">
        <v>976</v>
      </c>
      <c r="B21" t="s">
        <v>961</v>
      </c>
      <c r="C21" s="2" t="s">
        <v>973</v>
      </c>
      <c r="D21" s="2" t="s">
        <v>1022</v>
      </c>
    </row>
    <row r="22" spans="1:4" ht="15" customHeight="1" x14ac:dyDescent="0.35">
      <c r="A22" t="s">
        <v>976</v>
      </c>
      <c r="B22" t="s">
        <v>962</v>
      </c>
      <c r="C22" s="2" t="s">
        <v>974</v>
      </c>
      <c r="D22" s="2" t="s">
        <v>1023</v>
      </c>
    </row>
    <row r="23" spans="1:4" x14ac:dyDescent="0.35">
      <c r="A23" t="s">
        <v>975</v>
      </c>
      <c r="B23" t="s">
        <v>904</v>
      </c>
      <c r="C23" s="105" t="s">
        <v>903</v>
      </c>
      <c r="D23" s="105" t="s">
        <v>129</v>
      </c>
    </row>
    <row r="24" spans="1:4" x14ac:dyDescent="0.35">
      <c r="A24" t="s">
        <v>975</v>
      </c>
      <c r="B24" s="2" t="s">
        <v>1036</v>
      </c>
      <c r="C24" s="2" t="s">
        <v>131</v>
      </c>
      <c r="D24" s="2" t="s">
        <v>1024</v>
      </c>
    </row>
    <row r="25" spans="1:4" ht="15" customHeight="1" x14ac:dyDescent="0.35">
      <c r="A25" t="s">
        <v>975</v>
      </c>
      <c r="B25" t="s">
        <v>980</v>
      </c>
      <c r="C25" s="106" t="s">
        <v>977</v>
      </c>
      <c r="D25" s="106" t="s">
        <v>1024</v>
      </c>
    </row>
    <row r="26" spans="1:4" x14ac:dyDescent="0.35">
      <c r="A26" t="s">
        <v>975</v>
      </c>
      <c r="B26" t="s">
        <v>981</v>
      </c>
      <c r="C26" s="106" t="s">
        <v>2</v>
      </c>
      <c r="D26" s="106" t="s">
        <v>2</v>
      </c>
    </row>
    <row r="27" spans="1:4" x14ac:dyDescent="0.35">
      <c r="A27" t="s">
        <v>975</v>
      </c>
      <c r="B27" t="s">
        <v>982</v>
      </c>
      <c r="C27" s="106" t="s">
        <v>978</v>
      </c>
      <c r="D27" s="106" t="s">
        <v>1025</v>
      </c>
    </row>
    <row r="28" spans="1:4" ht="29" x14ac:dyDescent="0.35">
      <c r="A28" t="s">
        <v>975</v>
      </c>
      <c r="B28" t="s">
        <v>983</v>
      </c>
      <c r="C28" s="106" t="s">
        <v>979</v>
      </c>
      <c r="D28" s="106" t="s">
        <v>979</v>
      </c>
    </row>
    <row r="29" spans="1:4" x14ac:dyDescent="0.35">
      <c r="A29" t="s">
        <v>975</v>
      </c>
      <c r="B29" t="s">
        <v>945</v>
      </c>
      <c r="C29" s="106" t="s">
        <v>586</v>
      </c>
      <c r="D29" s="106" t="s">
        <v>586</v>
      </c>
    </row>
    <row r="30" spans="1:4" x14ac:dyDescent="0.35">
      <c r="A30" t="s">
        <v>975</v>
      </c>
      <c r="B30" t="s">
        <v>984</v>
      </c>
      <c r="C30" s="106" t="s">
        <v>588</v>
      </c>
      <c r="D30" s="106" t="s">
        <v>1026</v>
      </c>
    </row>
    <row r="31" spans="1:4" x14ac:dyDescent="0.35">
      <c r="A31" t="s">
        <v>975</v>
      </c>
      <c r="B31" t="s">
        <v>985</v>
      </c>
      <c r="C31" s="106" t="s">
        <v>587</v>
      </c>
      <c r="D31" s="106" t="s">
        <v>1027</v>
      </c>
    </row>
    <row r="32" spans="1:4" x14ac:dyDescent="0.35">
      <c r="A32" t="s">
        <v>975</v>
      </c>
      <c r="B32" t="s">
        <v>938</v>
      </c>
      <c r="C32" s="107" t="s">
        <v>806</v>
      </c>
      <c r="D32" s="107" t="s">
        <v>806</v>
      </c>
    </row>
    <row r="33" spans="1:4" x14ac:dyDescent="0.35">
      <c r="A33" t="s">
        <v>975</v>
      </c>
      <c r="B33" t="s">
        <v>939</v>
      </c>
      <c r="C33" s="107" t="s">
        <v>132</v>
      </c>
      <c r="D33" s="107" t="s">
        <v>132</v>
      </c>
    </row>
    <row r="34" spans="1:4" x14ac:dyDescent="0.35">
      <c r="A34" t="s">
        <v>975</v>
      </c>
      <c r="B34" t="s">
        <v>986</v>
      </c>
      <c r="C34" s="107" t="s">
        <v>807</v>
      </c>
      <c r="D34" s="107" t="s">
        <v>807</v>
      </c>
    </row>
    <row r="35" spans="1:4" x14ac:dyDescent="0.35">
      <c r="A35" t="s">
        <v>975</v>
      </c>
      <c r="B35" t="s">
        <v>987</v>
      </c>
      <c r="C35" s="107" t="s">
        <v>351</v>
      </c>
      <c r="D35" s="107" t="s">
        <v>1028</v>
      </c>
    </row>
    <row r="36" spans="1:4" x14ac:dyDescent="0.35">
      <c r="A36" t="s">
        <v>975</v>
      </c>
      <c r="B36" t="s">
        <v>991</v>
      </c>
      <c r="C36" s="107" t="s">
        <v>158</v>
      </c>
      <c r="D36" s="107" t="s">
        <v>1029</v>
      </c>
    </row>
    <row r="37" spans="1:4" x14ac:dyDescent="0.35">
      <c r="A37" t="s">
        <v>975</v>
      </c>
      <c r="B37" t="s">
        <v>990</v>
      </c>
      <c r="C37" s="107" t="s">
        <v>159</v>
      </c>
      <c r="D37" s="107" t="s">
        <v>1030</v>
      </c>
    </row>
    <row r="38" spans="1:4" x14ac:dyDescent="0.35">
      <c r="A38" t="s">
        <v>975</v>
      </c>
      <c r="B38" t="s">
        <v>988</v>
      </c>
      <c r="C38" s="107" t="s">
        <v>160</v>
      </c>
      <c r="D38" s="107" t="s">
        <v>1031</v>
      </c>
    </row>
    <row r="39" spans="1:4" x14ac:dyDescent="0.35">
      <c r="A39" t="s">
        <v>975</v>
      </c>
      <c r="B39" t="s">
        <v>989</v>
      </c>
      <c r="C39" s="235" t="s">
        <v>159</v>
      </c>
      <c r="D39" s="107" t="s">
        <v>1030</v>
      </c>
    </row>
    <row r="40" spans="1:4" x14ac:dyDescent="0.35">
      <c r="A40" t="s">
        <v>992</v>
      </c>
      <c r="B40" s="2" t="s">
        <v>904</v>
      </c>
      <c r="C40" s="2" t="s">
        <v>129</v>
      </c>
      <c r="D40" s="2" t="s">
        <v>129</v>
      </c>
    </row>
    <row r="41" spans="1:4" x14ac:dyDescent="0.35">
      <c r="A41" t="s">
        <v>992</v>
      </c>
      <c r="B41" s="2" t="s">
        <v>1036</v>
      </c>
      <c r="C41" s="2" t="s">
        <v>131</v>
      </c>
      <c r="D41" s="2" t="s">
        <v>1024</v>
      </c>
    </row>
    <row r="42" spans="1:4" x14ac:dyDescent="0.35">
      <c r="A42" t="s">
        <v>992</v>
      </c>
      <c r="B42" s="2" t="s">
        <v>905</v>
      </c>
      <c r="C42" s="2" t="s">
        <v>130</v>
      </c>
      <c r="D42" s="2" t="s">
        <v>1015</v>
      </c>
    </row>
    <row r="43" spans="1:4" x14ac:dyDescent="0.35">
      <c r="A43" t="s">
        <v>992</v>
      </c>
      <c r="B43" s="2" t="s">
        <v>938</v>
      </c>
      <c r="C43" s="2" t="s">
        <v>806</v>
      </c>
      <c r="D43" s="2" t="s">
        <v>806</v>
      </c>
    </row>
    <row r="44" spans="1:4" x14ac:dyDescent="0.35">
      <c r="A44" t="s">
        <v>992</v>
      </c>
      <c r="B44" s="2" t="s">
        <v>939</v>
      </c>
      <c r="C44" s="2" t="s">
        <v>132</v>
      </c>
      <c r="D44" s="2" t="s">
        <v>132</v>
      </c>
    </row>
    <row r="45" spans="1:4" x14ac:dyDescent="0.35">
      <c r="A45" t="s">
        <v>992</v>
      </c>
      <c r="B45" t="s">
        <v>370</v>
      </c>
      <c r="C45" t="s">
        <v>133</v>
      </c>
      <c r="D45" t="s">
        <v>133</v>
      </c>
    </row>
    <row r="46" spans="1:4" x14ac:dyDescent="0.35">
      <c r="A46" t="s">
        <v>992</v>
      </c>
      <c r="B46" s="2" t="s">
        <v>1161</v>
      </c>
      <c r="C46" s="2" t="s">
        <v>1165</v>
      </c>
      <c r="D46" s="2" t="s">
        <v>1166</v>
      </c>
    </row>
    <row r="47" spans="1:4" x14ac:dyDescent="0.35">
      <c r="A47" t="s">
        <v>992</v>
      </c>
      <c r="B47" s="2" t="s">
        <v>907</v>
      </c>
      <c r="C47" s="2" t="s">
        <v>137</v>
      </c>
      <c r="D47" s="2" t="s">
        <v>137</v>
      </c>
    </row>
    <row r="48" spans="1:4" x14ac:dyDescent="0.35">
      <c r="A48" t="s">
        <v>992</v>
      </c>
      <c r="B48" s="2" t="s">
        <v>908</v>
      </c>
      <c r="C48" s="2" t="s">
        <v>138</v>
      </c>
      <c r="D48" s="2" t="s">
        <v>138</v>
      </c>
    </row>
    <row r="49" spans="1:4" x14ac:dyDescent="0.35">
      <c r="A49" t="s">
        <v>992</v>
      </c>
      <c r="B49" s="2" t="s">
        <v>909</v>
      </c>
      <c r="C49" s="2" t="s">
        <v>139</v>
      </c>
      <c r="D49" s="2" t="s">
        <v>139</v>
      </c>
    </row>
    <row r="50" spans="1:4" ht="29" x14ac:dyDescent="0.35">
      <c r="A50" t="s">
        <v>992</v>
      </c>
      <c r="B50" s="2" t="s">
        <v>914</v>
      </c>
      <c r="C50" s="2" t="s">
        <v>1006</v>
      </c>
      <c r="D50" s="2" t="s">
        <v>1006</v>
      </c>
    </row>
    <row r="51" spans="1:4" ht="29" x14ac:dyDescent="0.35">
      <c r="A51" t="s">
        <v>992</v>
      </c>
      <c r="B51" s="2" t="s">
        <v>915</v>
      </c>
      <c r="C51" s="2" t="s">
        <v>1007</v>
      </c>
      <c r="D51" s="2" t="s">
        <v>1007</v>
      </c>
    </row>
    <row r="52" spans="1:4" x14ac:dyDescent="0.35">
      <c r="A52" t="s">
        <v>992</v>
      </c>
      <c r="B52" s="2" t="s">
        <v>910</v>
      </c>
      <c r="C52" s="2" t="s">
        <v>1005</v>
      </c>
      <c r="D52" s="2" t="s">
        <v>1005</v>
      </c>
    </row>
    <row r="53" spans="1:4" ht="29" x14ac:dyDescent="0.35">
      <c r="A53" t="s">
        <v>992</v>
      </c>
      <c r="B53" s="2" t="s">
        <v>940</v>
      </c>
      <c r="C53" s="2" t="s">
        <v>687</v>
      </c>
      <c r="D53" s="2" t="s">
        <v>1032</v>
      </c>
    </row>
    <row r="54" spans="1:4" x14ac:dyDescent="0.35">
      <c r="A54" t="s">
        <v>992</v>
      </c>
      <c r="B54" t="s">
        <v>919</v>
      </c>
      <c r="C54" t="s">
        <v>134</v>
      </c>
      <c r="D54" t="s">
        <v>134</v>
      </c>
    </row>
    <row r="55" spans="1:4" x14ac:dyDescent="0.35">
      <c r="A55" t="s">
        <v>992</v>
      </c>
      <c r="B55" t="s">
        <v>920</v>
      </c>
      <c r="C55" t="s">
        <v>135</v>
      </c>
      <c r="D55" t="s">
        <v>135</v>
      </c>
    </row>
    <row r="56" spans="1:4" x14ac:dyDescent="0.35">
      <c r="A56" t="s">
        <v>992</v>
      </c>
      <c r="B56" t="s">
        <v>921</v>
      </c>
      <c r="C56" t="s">
        <v>136</v>
      </c>
      <c r="D56" t="s">
        <v>136</v>
      </c>
    </row>
    <row r="57" spans="1:4" x14ac:dyDescent="0.35">
      <c r="A57" t="s">
        <v>992</v>
      </c>
      <c r="B57" s="2" t="s">
        <v>922</v>
      </c>
      <c r="C57" t="s">
        <v>1003</v>
      </c>
      <c r="D57" t="s">
        <v>1003</v>
      </c>
    </row>
    <row r="58" spans="1:4" x14ac:dyDescent="0.35">
      <c r="A58" t="s">
        <v>992</v>
      </c>
      <c r="B58" s="2" t="s">
        <v>923</v>
      </c>
      <c r="C58" t="s">
        <v>1004</v>
      </c>
      <c r="D58" t="s">
        <v>1004</v>
      </c>
    </row>
    <row r="59" spans="1:4" x14ac:dyDescent="0.35">
      <c r="A59" t="s">
        <v>992</v>
      </c>
      <c r="B59" s="2" t="s">
        <v>924</v>
      </c>
      <c r="C59" t="s">
        <v>1002</v>
      </c>
      <c r="D59" t="s">
        <v>1002</v>
      </c>
    </row>
    <row r="60" spans="1:4" x14ac:dyDescent="0.35">
      <c r="A60" t="s">
        <v>992</v>
      </c>
      <c r="B60" t="s">
        <v>925</v>
      </c>
      <c r="C60" s="2" t="s">
        <v>140</v>
      </c>
      <c r="D60" s="2" t="s">
        <v>140</v>
      </c>
    </row>
    <row r="61" spans="1:4" x14ac:dyDescent="0.35">
      <c r="A61" t="s">
        <v>992</v>
      </c>
      <c r="B61" t="s">
        <v>926</v>
      </c>
      <c r="C61" s="2" t="s">
        <v>141</v>
      </c>
      <c r="D61" s="2" t="s">
        <v>141</v>
      </c>
    </row>
    <row r="62" spans="1:4" ht="15" customHeight="1" x14ac:dyDescent="0.35">
      <c r="A62" t="s">
        <v>992</v>
      </c>
      <c r="B62" t="s">
        <v>927</v>
      </c>
      <c r="C62" s="2" t="s">
        <v>142</v>
      </c>
      <c r="D62" s="2" t="s">
        <v>142</v>
      </c>
    </row>
    <row r="63" spans="1:4" ht="15" customHeight="1" x14ac:dyDescent="0.35">
      <c r="A63" t="s">
        <v>992</v>
      </c>
      <c r="B63" s="2" t="s">
        <v>928</v>
      </c>
      <c r="C63" s="2" t="s">
        <v>1000</v>
      </c>
      <c r="D63" s="2" t="s">
        <v>1033</v>
      </c>
    </row>
    <row r="64" spans="1:4" ht="15" customHeight="1" x14ac:dyDescent="0.35">
      <c r="A64" t="s">
        <v>992</v>
      </c>
      <c r="B64" s="2" t="s">
        <v>929</v>
      </c>
      <c r="C64" s="2" t="s">
        <v>1001</v>
      </c>
      <c r="D64" s="2" t="s">
        <v>1034</v>
      </c>
    </row>
    <row r="65" spans="1:4" ht="15" customHeight="1" x14ac:dyDescent="0.35">
      <c r="A65" t="s">
        <v>992</v>
      </c>
      <c r="B65" s="2" t="s">
        <v>930</v>
      </c>
      <c r="C65" s="2" t="s">
        <v>999</v>
      </c>
      <c r="D65" s="2" t="s">
        <v>999</v>
      </c>
    </row>
    <row r="66" spans="1:4" ht="15" customHeight="1" x14ac:dyDescent="0.35">
      <c r="A66" t="s">
        <v>992</v>
      </c>
      <c r="B66" t="s">
        <v>911</v>
      </c>
      <c r="C66" s="2" t="s">
        <v>143</v>
      </c>
      <c r="D66" s="2" t="s">
        <v>143</v>
      </c>
    </row>
    <row r="67" spans="1:4" ht="15" customHeight="1" x14ac:dyDescent="0.35">
      <c r="A67" t="s">
        <v>992</v>
      </c>
      <c r="B67" t="s">
        <v>912</v>
      </c>
      <c r="C67" s="2" t="s">
        <v>144</v>
      </c>
      <c r="D67" s="2" t="s">
        <v>144</v>
      </c>
    </row>
    <row r="68" spans="1:4" ht="15" customHeight="1" x14ac:dyDescent="0.35">
      <c r="A68" t="s">
        <v>992</v>
      </c>
      <c r="B68" t="s">
        <v>913</v>
      </c>
      <c r="C68" s="2" t="s">
        <v>145</v>
      </c>
      <c r="D68" s="2" t="s">
        <v>145</v>
      </c>
    </row>
    <row r="69" spans="1:4" ht="15" customHeight="1" x14ac:dyDescent="0.35">
      <c r="A69" t="s">
        <v>992</v>
      </c>
      <c r="B69" s="2" t="s">
        <v>916</v>
      </c>
      <c r="C69" s="2" t="s">
        <v>997</v>
      </c>
      <c r="D69" s="2" t="s">
        <v>997</v>
      </c>
    </row>
    <row r="70" spans="1:4" ht="15" customHeight="1" x14ac:dyDescent="0.35">
      <c r="A70" t="s">
        <v>992</v>
      </c>
      <c r="B70" s="2" t="s">
        <v>917</v>
      </c>
      <c r="C70" s="2" t="s">
        <v>998</v>
      </c>
      <c r="D70" s="2" t="s">
        <v>998</v>
      </c>
    </row>
    <row r="71" spans="1:4" ht="15" customHeight="1" x14ac:dyDescent="0.35">
      <c r="A71" t="s">
        <v>992</v>
      </c>
      <c r="B71" s="2" t="s">
        <v>918</v>
      </c>
      <c r="C71" s="2" t="s">
        <v>996</v>
      </c>
      <c r="D71" s="2" t="s">
        <v>996</v>
      </c>
    </row>
    <row r="72" spans="1:4" ht="15" customHeight="1" x14ac:dyDescent="0.35">
      <c r="A72" t="s">
        <v>992</v>
      </c>
      <c r="B72" t="s">
        <v>931</v>
      </c>
      <c r="C72" s="2" t="s">
        <v>232</v>
      </c>
      <c r="D72" s="2" t="s">
        <v>232</v>
      </c>
    </row>
    <row r="73" spans="1:4" ht="15" customHeight="1" x14ac:dyDescent="0.35">
      <c r="A73" t="s">
        <v>992</v>
      </c>
      <c r="B73" t="s">
        <v>932</v>
      </c>
      <c r="C73" s="2" t="s">
        <v>233</v>
      </c>
      <c r="D73" s="2" t="s">
        <v>233</v>
      </c>
    </row>
    <row r="74" spans="1:4" ht="15" customHeight="1" x14ac:dyDescent="0.35">
      <c r="A74" t="s">
        <v>992</v>
      </c>
      <c r="B74" t="s">
        <v>933</v>
      </c>
      <c r="C74" s="2" t="s">
        <v>234</v>
      </c>
      <c r="D74" s="2" t="s">
        <v>234</v>
      </c>
    </row>
    <row r="75" spans="1:4" ht="15" customHeight="1" x14ac:dyDescent="0.35">
      <c r="A75" t="s">
        <v>992</v>
      </c>
      <c r="B75" s="2" t="s">
        <v>934</v>
      </c>
      <c r="C75" s="2" t="s">
        <v>994</v>
      </c>
      <c r="D75" s="2" t="s">
        <v>994</v>
      </c>
    </row>
    <row r="76" spans="1:4" ht="15" customHeight="1" x14ac:dyDescent="0.35">
      <c r="A76" t="s">
        <v>992</v>
      </c>
      <c r="B76" s="2" t="s">
        <v>935</v>
      </c>
      <c r="C76" s="2" t="s">
        <v>995</v>
      </c>
      <c r="D76" s="2" t="s">
        <v>995</v>
      </c>
    </row>
    <row r="77" spans="1:4" ht="15" customHeight="1" x14ac:dyDescent="0.35">
      <c r="A77" t="s">
        <v>992</v>
      </c>
      <c r="B77" s="2" t="s">
        <v>936</v>
      </c>
      <c r="C77" s="2" t="s">
        <v>993</v>
      </c>
      <c r="D77" s="2" t="s">
        <v>993</v>
      </c>
    </row>
    <row r="78" spans="1:4" ht="15" customHeight="1" x14ac:dyDescent="0.35">
      <c r="A78" t="s">
        <v>992</v>
      </c>
      <c r="B78" s="2" t="s">
        <v>906</v>
      </c>
      <c r="C78" s="2" t="s">
        <v>1009</v>
      </c>
      <c r="D78" s="2" t="s">
        <v>1009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FA64C-4714-524E-A32E-CB248E975BE1}">
  <dimension ref="A1:F142"/>
  <sheetViews>
    <sheetView topLeftCell="A114" zoomScaleNormal="100" workbookViewId="0">
      <selection activeCell="D142" sqref="D142"/>
    </sheetView>
  </sheetViews>
  <sheetFormatPr defaultColWidth="10.81640625" defaultRowHeight="15.5" x14ac:dyDescent="0.35"/>
  <cols>
    <col min="1" max="1" width="49.1796875" style="109" customWidth="1"/>
    <col min="2" max="2" width="26.453125" style="109" customWidth="1"/>
    <col min="3" max="3" width="78.453125" style="109" bestFit="1" customWidth="1"/>
    <col min="4" max="4" width="38" style="109" customWidth="1"/>
    <col min="5" max="16384" width="10.81640625" style="109"/>
  </cols>
  <sheetData>
    <row r="1" spans="1:6" ht="18" customHeight="1" thickBot="1" x14ac:dyDescent="0.4">
      <c r="A1" s="114" t="s">
        <v>1036</v>
      </c>
      <c r="B1" s="114" t="s">
        <v>1171</v>
      </c>
      <c r="C1" s="387" t="s">
        <v>1938</v>
      </c>
      <c r="D1" s="387" t="s">
        <v>2092</v>
      </c>
      <c r="F1" s="387" t="s">
        <v>1009</v>
      </c>
    </row>
    <row r="2" spans="1:6" ht="18" customHeight="1" x14ac:dyDescent="0.35">
      <c r="A2" s="233" t="s">
        <v>148</v>
      </c>
      <c r="B2" s="352" t="s">
        <v>148</v>
      </c>
      <c r="C2" s="387" t="s">
        <v>148</v>
      </c>
      <c r="D2" s="387" t="s">
        <v>148</v>
      </c>
    </row>
    <row r="3" spans="1:6" s="233" customFormat="1" x14ac:dyDescent="0.35">
      <c r="A3" s="109" t="s">
        <v>1088</v>
      </c>
      <c r="C3" s="387" t="s">
        <v>1945</v>
      </c>
      <c r="D3" s="387" t="s">
        <v>1945</v>
      </c>
    </row>
    <row r="4" spans="1:6" x14ac:dyDescent="0.35">
      <c r="A4" s="109" t="s">
        <v>1087</v>
      </c>
      <c r="C4" s="387" t="s">
        <v>1946</v>
      </c>
      <c r="D4" s="387" t="s">
        <v>1946</v>
      </c>
    </row>
    <row r="5" spans="1:6" x14ac:dyDescent="0.35">
      <c r="A5" s="109" t="s">
        <v>1089</v>
      </c>
      <c r="C5" s="387" t="s">
        <v>1947</v>
      </c>
      <c r="D5" s="387" t="s">
        <v>1947</v>
      </c>
    </row>
    <row r="6" spans="1:6" x14ac:dyDescent="0.35">
      <c r="A6" s="109" t="s">
        <v>1090</v>
      </c>
      <c r="C6" s="387" t="s">
        <v>1948</v>
      </c>
      <c r="D6" s="387" t="s">
        <v>1948</v>
      </c>
    </row>
    <row r="7" spans="1:6" x14ac:dyDescent="0.35">
      <c r="A7" s="109" t="s">
        <v>1038</v>
      </c>
      <c r="C7" s="387" t="s">
        <v>1949</v>
      </c>
      <c r="D7" s="387" t="s">
        <v>1949</v>
      </c>
    </row>
    <row r="8" spans="1:6" x14ac:dyDescent="0.35">
      <c r="A8" s="109" t="s">
        <v>1037</v>
      </c>
      <c r="C8" s="387" t="s">
        <v>1950</v>
      </c>
      <c r="D8" s="387" t="s">
        <v>1950</v>
      </c>
    </row>
    <row r="9" spans="1:6" x14ac:dyDescent="0.35">
      <c r="A9" s="109" t="s">
        <v>1039</v>
      </c>
      <c r="B9" s="8" t="s">
        <v>1170</v>
      </c>
      <c r="C9" s="387" t="s">
        <v>1951</v>
      </c>
      <c r="D9" s="8" t="s">
        <v>1170</v>
      </c>
      <c r="F9" s="387" t="s">
        <v>1962</v>
      </c>
    </row>
    <row r="10" spans="1:6" x14ac:dyDescent="0.35">
      <c r="A10" s="109" t="s">
        <v>1040</v>
      </c>
      <c r="B10" s="8" t="s">
        <v>1170</v>
      </c>
      <c r="C10" s="387" t="s">
        <v>1952</v>
      </c>
      <c r="D10" s="8" t="s">
        <v>1170</v>
      </c>
      <c r="F10" s="387" t="s">
        <v>1962</v>
      </c>
    </row>
    <row r="11" spans="1:6" x14ac:dyDescent="0.35">
      <c r="A11" s="109" t="s">
        <v>1041</v>
      </c>
      <c r="B11" s="8" t="s">
        <v>1170</v>
      </c>
      <c r="C11" s="387" t="s">
        <v>1953</v>
      </c>
      <c r="D11" s="8" t="s">
        <v>1170</v>
      </c>
    </row>
    <row r="12" spans="1:6" x14ac:dyDescent="0.35">
      <c r="A12" s="109" t="s">
        <v>1042</v>
      </c>
      <c r="C12" s="387" t="s">
        <v>1954</v>
      </c>
      <c r="D12" s="387" t="s">
        <v>1954</v>
      </c>
    </row>
    <row r="13" spans="1:6" x14ac:dyDescent="0.35">
      <c r="A13" s="109" t="s">
        <v>1043</v>
      </c>
      <c r="C13" s="387" t="s">
        <v>1955</v>
      </c>
      <c r="D13" s="387" t="s">
        <v>1955</v>
      </c>
    </row>
    <row r="14" spans="1:6" x14ac:dyDescent="0.35">
      <c r="A14" s="109" t="s">
        <v>1044</v>
      </c>
      <c r="C14" s="387" t="s">
        <v>1956</v>
      </c>
      <c r="D14" s="387" t="s">
        <v>1956</v>
      </c>
    </row>
    <row r="15" spans="1:6" x14ac:dyDescent="0.35">
      <c r="A15" s="109" t="s">
        <v>1045</v>
      </c>
      <c r="B15" s="238" t="s">
        <v>1228</v>
      </c>
      <c r="C15" s="387" t="s">
        <v>1957</v>
      </c>
      <c r="D15" s="387" t="s">
        <v>2093</v>
      </c>
    </row>
    <row r="16" spans="1:6" x14ac:dyDescent="0.35">
      <c r="A16" s="234" t="s">
        <v>1049</v>
      </c>
      <c r="B16" s="238" t="s">
        <v>1228</v>
      </c>
      <c r="C16" s="109" t="s">
        <v>1939</v>
      </c>
      <c r="D16" s="387" t="s">
        <v>2093</v>
      </c>
    </row>
    <row r="17" spans="1:6" x14ac:dyDescent="0.35">
      <c r="A17" s="109" t="s">
        <v>1046</v>
      </c>
      <c r="B17" s="237" t="s">
        <v>1226</v>
      </c>
      <c r="C17" s="387" t="s">
        <v>1958</v>
      </c>
      <c r="D17" s="387" t="s">
        <v>2094</v>
      </c>
    </row>
    <row r="18" spans="1:6" x14ac:dyDescent="0.35">
      <c r="A18" s="109" t="s">
        <v>1050</v>
      </c>
      <c r="B18" s="238" t="s">
        <v>1228</v>
      </c>
      <c r="C18" s="387" t="s">
        <v>1940</v>
      </c>
      <c r="D18" s="387" t="s">
        <v>2093</v>
      </c>
    </row>
    <row r="19" spans="1:6" x14ac:dyDescent="0.35">
      <c r="A19" s="109" t="s">
        <v>1047</v>
      </c>
      <c r="B19" s="237" t="s">
        <v>1226</v>
      </c>
      <c r="C19" s="109" t="s">
        <v>1941</v>
      </c>
      <c r="D19" s="387" t="s">
        <v>2094</v>
      </c>
    </row>
    <row r="20" spans="1:6" x14ac:dyDescent="0.35">
      <c r="A20" s="387" t="s">
        <v>1048</v>
      </c>
      <c r="B20" s="237" t="s">
        <v>1226</v>
      </c>
      <c r="C20" s="109" t="s">
        <v>1942</v>
      </c>
      <c r="D20" s="387" t="s">
        <v>2094</v>
      </c>
    </row>
    <row r="21" spans="1:6" x14ac:dyDescent="0.35">
      <c r="A21" s="109" t="s">
        <v>1340</v>
      </c>
      <c r="B21"/>
      <c r="C21" s="109" t="s">
        <v>1339</v>
      </c>
      <c r="D21" s="109" t="s">
        <v>1339</v>
      </c>
    </row>
    <row r="22" spans="1:6" x14ac:dyDescent="0.35">
      <c r="A22" s="352" t="s">
        <v>1393</v>
      </c>
      <c r="C22" s="387" t="s">
        <v>1959</v>
      </c>
      <c r="D22" s="387" t="s">
        <v>1959</v>
      </c>
    </row>
    <row r="23" spans="1:6" x14ac:dyDescent="0.35">
      <c r="A23" s="109" t="s">
        <v>1054</v>
      </c>
      <c r="C23" s="387" t="s">
        <v>1960</v>
      </c>
      <c r="D23" s="387" t="s">
        <v>1960</v>
      </c>
      <c r="F23" s="387" t="s">
        <v>1961</v>
      </c>
    </row>
    <row r="24" spans="1:6" x14ac:dyDescent="0.35">
      <c r="A24" s="109" t="s">
        <v>1051</v>
      </c>
      <c r="C24" s="387" t="s">
        <v>1963</v>
      </c>
      <c r="D24" s="387" t="s">
        <v>1963</v>
      </c>
    </row>
    <row r="25" spans="1:6" x14ac:dyDescent="0.35">
      <c r="A25" s="387" t="s">
        <v>1381</v>
      </c>
      <c r="C25" s="387" t="s">
        <v>1964</v>
      </c>
      <c r="D25" s="387" t="s">
        <v>1964</v>
      </c>
    </row>
    <row r="26" spans="1:6" x14ac:dyDescent="0.35">
      <c r="A26" s="109" t="s">
        <v>1052</v>
      </c>
      <c r="C26" s="387" t="s">
        <v>1965</v>
      </c>
      <c r="D26" s="387" t="s">
        <v>1965</v>
      </c>
    </row>
    <row r="27" spans="1:6" x14ac:dyDescent="0.35">
      <c r="A27" s="109" t="s">
        <v>1055</v>
      </c>
      <c r="C27" s="387" t="s">
        <v>1966</v>
      </c>
      <c r="D27" s="387" t="s">
        <v>1966</v>
      </c>
    </row>
    <row r="28" spans="1:6" x14ac:dyDescent="0.35">
      <c r="A28" s="109" t="s">
        <v>1053</v>
      </c>
      <c r="C28" s="387" t="s">
        <v>1967</v>
      </c>
      <c r="D28" s="387" t="s">
        <v>1967</v>
      </c>
    </row>
    <row r="29" spans="1:6" x14ac:dyDescent="0.35">
      <c r="A29" s="109" t="s">
        <v>1059</v>
      </c>
      <c r="C29" s="387" t="s">
        <v>1968</v>
      </c>
      <c r="D29" s="387" t="s">
        <v>1968</v>
      </c>
    </row>
    <row r="30" spans="1:6" x14ac:dyDescent="0.35">
      <c r="A30" s="109" t="s">
        <v>1056</v>
      </c>
      <c r="B30" s="345" t="s">
        <v>1227</v>
      </c>
      <c r="C30" s="387" t="s">
        <v>1969</v>
      </c>
      <c r="D30" s="387" t="s">
        <v>1969</v>
      </c>
    </row>
    <row r="31" spans="1:6" x14ac:dyDescent="0.35">
      <c r="A31" s="109" t="s">
        <v>1058</v>
      </c>
      <c r="C31" s="387" t="s">
        <v>1970</v>
      </c>
      <c r="D31" s="387" t="s">
        <v>1970</v>
      </c>
    </row>
    <row r="32" spans="1:6" x14ac:dyDescent="0.35">
      <c r="A32" s="109" t="s">
        <v>1057</v>
      </c>
      <c r="C32" s="387" t="s">
        <v>1971</v>
      </c>
      <c r="D32" s="387" t="s">
        <v>1971</v>
      </c>
    </row>
    <row r="33" spans="1:4" x14ac:dyDescent="0.35">
      <c r="A33" s="109" t="s">
        <v>1091</v>
      </c>
      <c r="C33" s="387" t="s">
        <v>1972</v>
      </c>
      <c r="D33" s="387" t="s">
        <v>1972</v>
      </c>
    </row>
    <row r="34" spans="1:4" x14ac:dyDescent="0.35">
      <c r="A34" s="109" t="s">
        <v>1060</v>
      </c>
      <c r="C34" s="387" t="s">
        <v>1973</v>
      </c>
      <c r="D34" s="387" t="s">
        <v>1973</v>
      </c>
    </row>
    <row r="35" spans="1:4" x14ac:dyDescent="0.35">
      <c r="A35" s="109" t="s">
        <v>1061</v>
      </c>
      <c r="C35" s="387" t="s">
        <v>1974</v>
      </c>
      <c r="D35" s="387" t="s">
        <v>1974</v>
      </c>
    </row>
    <row r="36" spans="1:4" x14ac:dyDescent="0.35">
      <c r="A36" s="109" t="s">
        <v>1062</v>
      </c>
      <c r="C36" s="387" t="s">
        <v>1975</v>
      </c>
      <c r="D36" s="387" t="s">
        <v>1975</v>
      </c>
    </row>
    <row r="37" spans="1:4" x14ac:dyDescent="0.35">
      <c r="A37" s="109" t="s">
        <v>1063</v>
      </c>
      <c r="C37" s="387" t="s">
        <v>1976</v>
      </c>
      <c r="D37" s="387" t="s">
        <v>1976</v>
      </c>
    </row>
    <row r="38" spans="1:4" x14ac:dyDescent="0.35">
      <c r="A38" s="109" t="s">
        <v>1064</v>
      </c>
      <c r="C38" s="387" t="s">
        <v>1977</v>
      </c>
      <c r="D38" s="387" t="s">
        <v>1977</v>
      </c>
    </row>
    <row r="39" spans="1:4" x14ac:dyDescent="0.35">
      <c r="A39" s="109" t="s">
        <v>1065</v>
      </c>
      <c r="C39" s="387" t="s">
        <v>1978</v>
      </c>
      <c r="D39" s="387" t="s">
        <v>1978</v>
      </c>
    </row>
    <row r="40" spans="1:4" x14ac:dyDescent="0.35">
      <c r="A40" s="232" t="s">
        <v>1871</v>
      </c>
      <c r="C40" s="387" t="s">
        <v>1979</v>
      </c>
      <c r="D40" s="387" t="s">
        <v>1979</v>
      </c>
    </row>
    <row r="41" spans="1:4" x14ac:dyDescent="0.35">
      <c r="A41" s="232" t="s">
        <v>1870</v>
      </c>
      <c r="C41" s="387" t="s">
        <v>1980</v>
      </c>
      <c r="D41" s="387" t="s">
        <v>1980</v>
      </c>
    </row>
    <row r="42" spans="1:4" x14ac:dyDescent="0.35">
      <c r="A42" s="232" t="s">
        <v>1873</v>
      </c>
      <c r="C42" s="387" t="s">
        <v>1981</v>
      </c>
      <c r="D42" s="387" t="s">
        <v>1981</v>
      </c>
    </row>
    <row r="43" spans="1:4" x14ac:dyDescent="0.35">
      <c r="A43" s="232" t="s">
        <v>1872</v>
      </c>
      <c r="C43" s="387" t="s">
        <v>1982</v>
      </c>
      <c r="D43" s="387" t="s">
        <v>1982</v>
      </c>
    </row>
    <row r="44" spans="1:4" x14ac:dyDescent="0.35">
      <c r="A44" s="109" t="s">
        <v>1066</v>
      </c>
      <c r="C44" s="109" t="s">
        <v>364</v>
      </c>
      <c r="D44" s="109" t="s">
        <v>364</v>
      </c>
    </row>
    <row r="45" spans="1:4" x14ac:dyDescent="0.35">
      <c r="A45" s="109" t="s">
        <v>1067</v>
      </c>
      <c r="C45" s="387" t="s">
        <v>1983</v>
      </c>
      <c r="D45" s="387" t="s">
        <v>1983</v>
      </c>
    </row>
    <row r="46" spans="1:4" x14ac:dyDescent="0.35">
      <c r="A46" s="232" t="s">
        <v>1629</v>
      </c>
      <c r="C46" s="387" t="s">
        <v>1984</v>
      </c>
      <c r="D46" s="387" t="s">
        <v>1984</v>
      </c>
    </row>
    <row r="47" spans="1:4" x14ac:dyDescent="0.35">
      <c r="A47" s="232" t="s">
        <v>1630</v>
      </c>
      <c r="C47" s="387" t="s">
        <v>1985</v>
      </c>
      <c r="D47" s="387" t="s">
        <v>1985</v>
      </c>
    </row>
    <row r="48" spans="1:4" x14ac:dyDescent="0.35">
      <c r="A48" s="232" t="s">
        <v>1631</v>
      </c>
      <c r="C48" s="387" t="s">
        <v>1986</v>
      </c>
      <c r="D48" s="387" t="s">
        <v>1986</v>
      </c>
    </row>
    <row r="49" spans="1:6" x14ac:dyDescent="0.35">
      <c r="A49" s="232" t="s">
        <v>1632</v>
      </c>
      <c r="C49" s="387" t="s">
        <v>1987</v>
      </c>
      <c r="D49" s="387" t="s">
        <v>1987</v>
      </c>
    </row>
    <row r="50" spans="1:6" x14ac:dyDescent="0.35">
      <c r="A50" s="109" t="s">
        <v>1068</v>
      </c>
      <c r="C50" s="387" t="s">
        <v>1988</v>
      </c>
      <c r="D50" s="387" t="s">
        <v>1988</v>
      </c>
    </row>
    <row r="51" spans="1:6" x14ac:dyDescent="0.35">
      <c r="A51" s="109" t="s">
        <v>1069</v>
      </c>
      <c r="C51" s="387" t="s">
        <v>1989</v>
      </c>
      <c r="D51" s="387" t="s">
        <v>1989</v>
      </c>
    </row>
    <row r="52" spans="1:6" x14ac:dyDescent="0.35">
      <c r="A52" s="109" t="s">
        <v>1071</v>
      </c>
      <c r="C52" s="387" t="s">
        <v>1990</v>
      </c>
      <c r="D52" s="387" t="s">
        <v>1990</v>
      </c>
    </row>
    <row r="53" spans="1:6" x14ac:dyDescent="0.35">
      <c r="A53" s="109" t="s">
        <v>1070</v>
      </c>
      <c r="C53" s="387" t="s">
        <v>1991</v>
      </c>
      <c r="D53" s="387" t="s">
        <v>1991</v>
      </c>
    </row>
    <row r="54" spans="1:6" x14ac:dyDescent="0.35">
      <c r="A54" s="387" t="s">
        <v>1073</v>
      </c>
      <c r="C54" s="387" t="s">
        <v>1992</v>
      </c>
      <c r="D54" s="387" t="s">
        <v>1992</v>
      </c>
    </row>
    <row r="55" spans="1:6" x14ac:dyDescent="0.35">
      <c r="A55" s="109" t="s">
        <v>1072</v>
      </c>
      <c r="C55" s="387" t="s">
        <v>1993</v>
      </c>
      <c r="D55" s="387" t="s">
        <v>1993</v>
      </c>
    </row>
    <row r="56" spans="1:6" x14ac:dyDescent="0.35">
      <c r="A56" s="109" t="s">
        <v>1074</v>
      </c>
      <c r="B56" s="239" t="s">
        <v>1172</v>
      </c>
      <c r="C56" s="387" t="s">
        <v>1994</v>
      </c>
      <c r="D56" s="387" t="s">
        <v>1172</v>
      </c>
    </row>
    <row r="57" spans="1:6" x14ac:dyDescent="0.35">
      <c r="A57" s="109" t="s">
        <v>1075</v>
      </c>
      <c r="B57" s="239" t="s">
        <v>1172</v>
      </c>
      <c r="C57" s="387" t="s">
        <v>1995</v>
      </c>
      <c r="D57" s="387" t="s">
        <v>1172</v>
      </c>
      <c r="F57" s="109" t="s">
        <v>400</v>
      </c>
    </row>
    <row r="58" spans="1:6" x14ac:dyDescent="0.35">
      <c r="A58" s="109" t="s">
        <v>1076</v>
      </c>
      <c r="B58" s="239"/>
      <c r="C58" s="387" t="s">
        <v>1996</v>
      </c>
      <c r="D58" s="387" t="s">
        <v>1996</v>
      </c>
    </row>
    <row r="59" spans="1:6" x14ac:dyDescent="0.35">
      <c r="A59" s="109" t="s">
        <v>1077</v>
      </c>
      <c r="C59" s="109" t="s">
        <v>1943</v>
      </c>
      <c r="D59" s="109" t="s">
        <v>1943</v>
      </c>
    </row>
    <row r="60" spans="1:6" x14ac:dyDescent="0.35">
      <c r="A60" s="109" t="s">
        <v>1078</v>
      </c>
      <c r="C60" s="109" t="s">
        <v>1944</v>
      </c>
      <c r="D60" s="109" t="s">
        <v>1944</v>
      </c>
    </row>
    <row r="61" spans="1:6" x14ac:dyDescent="0.35">
      <c r="A61" s="109" t="s">
        <v>1081</v>
      </c>
      <c r="C61" s="387" t="s">
        <v>1997</v>
      </c>
      <c r="D61" s="387" t="s">
        <v>1997</v>
      </c>
    </row>
    <row r="62" spans="1:6" x14ac:dyDescent="0.35">
      <c r="A62" s="109" t="s">
        <v>1079</v>
      </c>
      <c r="C62" s="387" t="s">
        <v>1998</v>
      </c>
      <c r="D62" s="387" t="s">
        <v>1998</v>
      </c>
    </row>
    <row r="63" spans="1:6" x14ac:dyDescent="0.35">
      <c r="A63" s="109" t="s">
        <v>1080</v>
      </c>
      <c r="C63" s="387" t="s">
        <v>1999</v>
      </c>
      <c r="D63" s="387" t="s">
        <v>1999</v>
      </c>
    </row>
    <row r="64" spans="1:6" x14ac:dyDescent="0.35">
      <c r="A64" s="109" t="s">
        <v>1082</v>
      </c>
      <c r="C64" s="387" t="s">
        <v>2000</v>
      </c>
      <c r="D64" s="387" t="s">
        <v>2000</v>
      </c>
    </row>
    <row r="65" spans="1:4" x14ac:dyDescent="0.35">
      <c r="A65" s="109" t="s">
        <v>1082</v>
      </c>
      <c r="C65" s="387" t="s">
        <v>2000</v>
      </c>
      <c r="D65" s="387" t="s">
        <v>2000</v>
      </c>
    </row>
    <row r="66" spans="1:4" x14ac:dyDescent="0.35">
      <c r="A66" s="109" t="s">
        <v>1084</v>
      </c>
      <c r="C66" s="387" t="s">
        <v>2001</v>
      </c>
      <c r="D66" s="387" t="s">
        <v>2001</v>
      </c>
    </row>
    <row r="67" spans="1:4" x14ac:dyDescent="0.35">
      <c r="A67" s="109" t="s">
        <v>1083</v>
      </c>
      <c r="C67" s="387" t="s">
        <v>2002</v>
      </c>
      <c r="D67" s="387" t="s">
        <v>2002</v>
      </c>
    </row>
    <row r="68" spans="1:4" x14ac:dyDescent="0.35">
      <c r="A68" s="109" t="s">
        <v>1085</v>
      </c>
      <c r="C68" s="387" t="s">
        <v>2003</v>
      </c>
      <c r="D68" s="387" t="s">
        <v>2003</v>
      </c>
    </row>
    <row r="69" spans="1:4" x14ac:dyDescent="0.35">
      <c r="A69" s="109" t="s">
        <v>1086</v>
      </c>
      <c r="C69" s="109" t="s">
        <v>757</v>
      </c>
      <c r="D69" s="109" t="s">
        <v>757</v>
      </c>
    </row>
    <row r="70" spans="1:4" x14ac:dyDescent="0.35">
      <c r="A70" s="387" t="s">
        <v>1422</v>
      </c>
      <c r="C70" s="387" t="s">
        <v>2004</v>
      </c>
      <c r="D70" s="387" t="s">
        <v>2004</v>
      </c>
    </row>
    <row r="71" spans="1:4" x14ac:dyDescent="0.35">
      <c r="A71" s="352" t="s">
        <v>1302</v>
      </c>
      <c r="C71" s="387" t="s">
        <v>2005</v>
      </c>
      <c r="D71" s="387" t="s">
        <v>2005</v>
      </c>
    </row>
    <row r="72" spans="1:4" x14ac:dyDescent="0.35">
      <c r="A72" s="352" t="s">
        <v>1303</v>
      </c>
      <c r="C72" s="387" t="s">
        <v>2006</v>
      </c>
      <c r="D72" s="387" t="s">
        <v>2006</v>
      </c>
    </row>
    <row r="73" spans="1:4" x14ac:dyDescent="0.35">
      <c r="A73" s="352" t="s">
        <v>1292</v>
      </c>
      <c r="C73" s="387" t="s">
        <v>2007</v>
      </c>
      <c r="D73" s="387" t="s">
        <v>2007</v>
      </c>
    </row>
    <row r="74" spans="1:4" x14ac:dyDescent="0.35">
      <c r="A74" s="352" t="s">
        <v>1293</v>
      </c>
      <c r="C74" s="387" t="s">
        <v>2008</v>
      </c>
      <c r="D74" s="387" t="s">
        <v>2008</v>
      </c>
    </row>
    <row r="75" spans="1:4" x14ac:dyDescent="0.35">
      <c r="A75" s="109" t="s">
        <v>1092</v>
      </c>
      <c r="C75" s="387" t="s">
        <v>2009</v>
      </c>
      <c r="D75" s="387" t="s">
        <v>2009</v>
      </c>
    </row>
    <row r="76" spans="1:4" x14ac:dyDescent="0.35">
      <c r="A76" s="109" t="s">
        <v>1093</v>
      </c>
      <c r="C76" s="387" t="s">
        <v>2010</v>
      </c>
      <c r="D76" s="387" t="s">
        <v>2010</v>
      </c>
    </row>
    <row r="77" spans="1:4" x14ac:dyDescent="0.35">
      <c r="A77" s="109" t="s">
        <v>1094</v>
      </c>
      <c r="C77" s="387" t="s">
        <v>2015</v>
      </c>
      <c r="D77" s="387" t="s">
        <v>2015</v>
      </c>
    </row>
    <row r="78" spans="1:4" x14ac:dyDescent="0.35">
      <c r="A78" s="109" t="s">
        <v>1274</v>
      </c>
      <c r="C78" s="387" t="s">
        <v>2016</v>
      </c>
      <c r="D78" s="387" t="s">
        <v>2016</v>
      </c>
    </row>
    <row r="79" spans="1:4" x14ac:dyDescent="0.35">
      <c r="A79" s="109" t="s">
        <v>1095</v>
      </c>
      <c r="C79" s="387" t="s">
        <v>2020</v>
      </c>
      <c r="D79" s="387" t="s">
        <v>2020</v>
      </c>
    </row>
    <row r="80" spans="1:4" x14ac:dyDescent="0.35">
      <c r="A80" s="109" t="s">
        <v>1097</v>
      </c>
      <c r="C80" s="387" t="s">
        <v>2021</v>
      </c>
      <c r="D80" s="387" t="s">
        <v>2021</v>
      </c>
    </row>
    <row r="81" spans="1:6" x14ac:dyDescent="0.35">
      <c r="A81" s="109" t="s">
        <v>1096</v>
      </c>
      <c r="C81" s="387" t="s">
        <v>2022</v>
      </c>
      <c r="D81" s="387" t="s">
        <v>2022</v>
      </c>
    </row>
    <row r="82" spans="1:6" x14ac:dyDescent="0.35">
      <c r="A82" s="109" t="s">
        <v>1098</v>
      </c>
      <c r="C82" s="387" t="s">
        <v>2023</v>
      </c>
      <c r="D82" s="387" t="s">
        <v>2023</v>
      </c>
    </row>
    <row r="83" spans="1:6" x14ac:dyDescent="0.35">
      <c r="A83" s="109" t="s">
        <v>1099</v>
      </c>
      <c r="C83" s="387" t="s">
        <v>2024</v>
      </c>
      <c r="D83" s="387" t="s">
        <v>2024</v>
      </c>
    </row>
    <row r="84" spans="1:6" x14ac:dyDescent="0.35">
      <c r="A84" s="109" t="s">
        <v>1100</v>
      </c>
      <c r="C84" s="387" t="s">
        <v>2025</v>
      </c>
      <c r="D84" s="387" t="s">
        <v>2025</v>
      </c>
    </row>
    <row r="85" spans="1:6" x14ac:dyDescent="0.35">
      <c r="A85" s="109" t="s">
        <v>1102</v>
      </c>
      <c r="C85" s="387" t="s">
        <v>2026</v>
      </c>
      <c r="D85" s="387" t="s">
        <v>2026</v>
      </c>
    </row>
    <row r="86" spans="1:6" x14ac:dyDescent="0.35">
      <c r="A86" s="109" t="s">
        <v>1101</v>
      </c>
      <c r="C86" s="387" t="s">
        <v>2027</v>
      </c>
      <c r="D86" s="387" t="s">
        <v>2027</v>
      </c>
    </row>
    <row r="87" spans="1:6" x14ac:dyDescent="0.35">
      <c r="A87" s="109" t="s">
        <v>1103</v>
      </c>
      <c r="C87" s="387" t="s">
        <v>2028</v>
      </c>
      <c r="D87" s="387" t="s">
        <v>2028</v>
      </c>
    </row>
    <row r="88" spans="1:6" x14ac:dyDescent="0.35">
      <c r="A88" s="109" t="s">
        <v>1104</v>
      </c>
      <c r="C88" s="387" t="s">
        <v>2029</v>
      </c>
      <c r="D88" s="387" t="s">
        <v>2029</v>
      </c>
      <c r="F88" s="387" t="s">
        <v>2030</v>
      </c>
    </row>
    <row r="89" spans="1:6" x14ac:dyDescent="0.35">
      <c r="A89" s="109" t="s">
        <v>1105</v>
      </c>
      <c r="C89" s="387" t="s">
        <v>2031</v>
      </c>
      <c r="D89" s="387" t="s">
        <v>2031</v>
      </c>
    </row>
    <row r="90" spans="1:6" x14ac:dyDescent="0.35">
      <c r="A90" s="232" t="s">
        <v>1623</v>
      </c>
      <c r="C90" s="387" t="s">
        <v>2032</v>
      </c>
      <c r="D90" s="387" t="s">
        <v>2032</v>
      </c>
    </row>
    <row r="91" spans="1:6" x14ac:dyDescent="0.35">
      <c r="A91" s="232" t="s">
        <v>1624</v>
      </c>
      <c r="C91" s="387" t="s">
        <v>2033</v>
      </c>
      <c r="D91" s="387" t="s">
        <v>2033</v>
      </c>
    </row>
    <row r="92" spans="1:6" x14ac:dyDescent="0.35">
      <c r="A92" s="387" t="s">
        <v>1588</v>
      </c>
      <c r="C92" s="232" t="s">
        <v>2011</v>
      </c>
      <c r="D92" s="232" t="s">
        <v>2011</v>
      </c>
    </row>
    <row r="93" spans="1:6" x14ac:dyDescent="0.35">
      <c r="A93" s="387" t="s">
        <v>1590</v>
      </c>
      <c r="C93" s="232" t="s">
        <v>2012</v>
      </c>
      <c r="D93" s="232" t="s">
        <v>2012</v>
      </c>
    </row>
    <row r="94" spans="1:6" x14ac:dyDescent="0.35">
      <c r="A94" s="387" t="s">
        <v>1589</v>
      </c>
      <c r="C94" s="232" t="s">
        <v>2013</v>
      </c>
      <c r="D94" s="232" t="s">
        <v>2013</v>
      </c>
    </row>
    <row r="95" spans="1:6" x14ac:dyDescent="0.35">
      <c r="A95" s="387" t="s">
        <v>1604</v>
      </c>
      <c r="C95" s="387" t="s">
        <v>2014</v>
      </c>
      <c r="D95" s="387" t="s">
        <v>2014</v>
      </c>
    </row>
    <row r="96" spans="1:6" x14ac:dyDescent="0.35">
      <c r="A96" s="109" t="s">
        <v>1663</v>
      </c>
      <c r="C96" s="387" t="s">
        <v>2017</v>
      </c>
      <c r="D96" s="387" t="s">
        <v>2017</v>
      </c>
    </row>
    <row r="97" spans="1:4" x14ac:dyDescent="0.35">
      <c r="A97" s="232" t="s">
        <v>1672</v>
      </c>
      <c r="C97" s="387" t="s">
        <v>2037</v>
      </c>
      <c r="D97" s="387" t="s">
        <v>2037</v>
      </c>
    </row>
    <row r="98" spans="1:4" x14ac:dyDescent="0.35">
      <c r="A98" s="232" t="s">
        <v>1673</v>
      </c>
      <c r="C98" s="387" t="s">
        <v>2038</v>
      </c>
      <c r="D98" s="387" t="s">
        <v>2038</v>
      </c>
    </row>
    <row r="99" spans="1:4" x14ac:dyDescent="0.35">
      <c r="A99" s="232" t="s">
        <v>1674</v>
      </c>
      <c r="C99" s="387" t="s">
        <v>2018</v>
      </c>
      <c r="D99" s="387" t="s">
        <v>2018</v>
      </c>
    </row>
    <row r="100" spans="1:4" x14ac:dyDescent="0.35">
      <c r="A100" s="232" t="s">
        <v>1675</v>
      </c>
      <c r="C100" s="387" t="s">
        <v>2019</v>
      </c>
      <c r="D100" s="387" t="s">
        <v>2019</v>
      </c>
    </row>
    <row r="101" spans="1:4" x14ac:dyDescent="0.35">
      <c r="A101" s="232" t="s">
        <v>1692</v>
      </c>
      <c r="C101" s="387" t="s">
        <v>2039</v>
      </c>
      <c r="D101" s="387" t="s">
        <v>2039</v>
      </c>
    </row>
    <row r="102" spans="1:4" x14ac:dyDescent="0.35">
      <c r="A102" s="232" t="s">
        <v>1694</v>
      </c>
      <c r="C102" s="387" t="s">
        <v>2040</v>
      </c>
      <c r="D102" s="387" t="s">
        <v>2040</v>
      </c>
    </row>
    <row r="103" spans="1:4" ht="16" thickBot="1" x14ac:dyDescent="0.4">
      <c r="A103" s="231" t="s">
        <v>1696</v>
      </c>
      <c r="C103" s="387" t="s">
        <v>2041</v>
      </c>
      <c r="D103" s="387" t="s">
        <v>2041</v>
      </c>
    </row>
    <row r="104" spans="1:4" x14ac:dyDescent="0.35">
      <c r="A104" s="232" t="s">
        <v>1725</v>
      </c>
      <c r="C104" s="387" t="s">
        <v>2034</v>
      </c>
      <c r="D104" s="387" t="s">
        <v>2034</v>
      </c>
    </row>
    <row r="105" spans="1:4" x14ac:dyDescent="0.35">
      <c r="A105" s="232" t="s">
        <v>1726</v>
      </c>
      <c r="C105" s="387" t="s">
        <v>2042</v>
      </c>
      <c r="D105" s="387" t="s">
        <v>2042</v>
      </c>
    </row>
    <row r="106" spans="1:4" x14ac:dyDescent="0.35">
      <c r="A106" s="232" t="s">
        <v>1727</v>
      </c>
      <c r="C106" s="387" t="s">
        <v>2043</v>
      </c>
      <c r="D106" s="387" t="s">
        <v>2043</v>
      </c>
    </row>
    <row r="107" spans="1:4" x14ac:dyDescent="0.35">
      <c r="A107" s="387" t="s">
        <v>1749</v>
      </c>
      <c r="B107" s="239" t="s">
        <v>1172</v>
      </c>
      <c r="C107" s="109" t="s">
        <v>1748</v>
      </c>
      <c r="D107" s="387" t="s">
        <v>1172</v>
      </c>
    </row>
    <row r="108" spans="1:4" x14ac:dyDescent="0.35">
      <c r="A108" s="387" t="s">
        <v>1762</v>
      </c>
      <c r="C108" s="387" t="s">
        <v>2044</v>
      </c>
      <c r="D108" s="387" t="s">
        <v>2044</v>
      </c>
    </row>
    <row r="109" spans="1:4" x14ac:dyDescent="0.35">
      <c r="A109" s="387" t="s">
        <v>1787</v>
      </c>
      <c r="C109" s="387" t="s">
        <v>2045</v>
      </c>
      <c r="D109" s="387" t="s">
        <v>2045</v>
      </c>
    </row>
    <row r="110" spans="1:4" x14ac:dyDescent="0.35">
      <c r="A110" s="232" t="s">
        <v>1800</v>
      </c>
      <c r="C110" s="387" t="s">
        <v>2035</v>
      </c>
      <c r="D110" s="387" t="s">
        <v>2035</v>
      </c>
    </row>
    <row r="111" spans="1:4" x14ac:dyDescent="0.35">
      <c r="A111" s="232" t="s">
        <v>1801</v>
      </c>
      <c r="C111" s="387" t="s">
        <v>2049</v>
      </c>
      <c r="D111" s="387" t="s">
        <v>2049</v>
      </c>
    </row>
    <row r="112" spans="1:4" x14ac:dyDescent="0.35">
      <c r="A112" t="s">
        <v>2059</v>
      </c>
      <c r="C112" t="s">
        <v>2062</v>
      </c>
      <c r="D112" t="s">
        <v>2062</v>
      </c>
    </row>
    <row r="113" spans="1:5" x14ac:dyDescent="0.35">
      <c r="A113" t="s">
        <v>2060</v>
      </c>
      <c r="C113" t="s">
        <v>2063</v>
      </c>
      <c r="D113" t="s">
        <v>2063</v>
      </c>
    </row>
    <row r="114" spans="1:5" x14ac:dyDescent="0.35">
      <c r="A114" t="s">
        <v>2061</v>
      </c>
      <c r="C114" t="s">
        <v>2064</v>
      </c>
      <c r="D114" t="s">
        <v>2064</v>
      </c>
    </row>
    <row r="115" spans="1:5" x14ac:dyDescent="0.35">
      <c r="A115" s="232" t="s">
        <v>1834</v>
      </c>
      <c r="C115" s="387" t="s">
        <v>2036</v>
      </c>
      <c r="D115" s="387" t="s">
        <v>2036</v>
      </c>
    </row>
    <row r="116" spans="1:5" x14ac:dyDescent="0.35">
      <c r="A116" s="232" t="s">
        <v>1833</v>
      </c>
      <c r="C116" s="387" t="s">
        <v>2046</v>
      </c>
      <c r="D116" s="387" t="s">
        <v>2046</v>
      </c>
    </row>
    <row r="117" spans="1:5" x14ac:dyDescent="0.35">
      <c r="A117" s="387" t="s">
        <v>1848</v>
      </c>
      <c r="C117" t="s">
        <v>2047</v>
      </c>
      <c r="D117" t="s">
        <v>2047</v>
      </c>
    </row>
    <row r="118" spans="1:5" x14ac:dyDescent="0.35">
      <c r="A118" s="387" t="s">
        <v>1849</v>
      </c>
      <c r="C118" t="s">
        <v>2048</v>
      </c>
      <c r="D118" t="s">
        <v>2048</v>
      </c>
    </row>
    <row r="119" spans="1:5" x14ac:dyDescent="0.35">
      <c r="A119" s="232" t="s">
        <v>1886</v>
      </c>
      <c r="C119" s="387" t="s">
        <v>2051</v>
      </c>
      <c r="D119" s="387" t="s">
        <v>2051</v>
      </c>
    </row>
    <row r="120" spans="1:5" x14ac:dyDescent="0.35">
      <c r="A120" s="232" t="s">
        <v>1887</v>
      </c>
      <c r="C120" s="387" t="s">
        <v>2052</v>
      </c>
      <c r="D120" s="387" t="s">
        <v>2052</v>
      </c>
    </row>
    <row r="121" spans="1:5" x14ac:dyDescent="0.35">
      <c r="A121" s="232" t="s">
        <v>1888</v>
      </c>
      <c r="C121" s="387" t="s">
        <v>2053</v>
      </c>
      <c r="D121" s="387" t="s">
        <v>2053</v>
      </c>
    </row>
    <row r="122" spans="1:5" x14ac:dyDescent="0.35">
      <c r="A122" s="232" t="s">
        <v>1922</v>
      </c>
      <c r="C122" s="232" t="s">
        <v>2054</v>
      </c>
      <c r="D122" s="232" t="s">
        <v>2054</v>
      </c>
    </row>
    <row r="123" spans="1:5" x14ac:dyDescent="0.35">
      <c r="A123" s="232" t="s">
        <v>1923</v>
      </c>
      <c r="C123" s="232" t="s">
        <v>2050</v>
      </c>
      <c r="D123" s="232" t="s">
        <v>2050</v>
      </c>
    </row>
    <row r="124" spans="1:5" x14ac:dyDescent="0.35">
      <c r="A124" s="232" t="s">
        <v>1934</v>
      </c>
      <c r="C124" s="387" t="s">
        <v>2056</v>
      </c>
      <c r="D124" s="387" t="s">
        <v>2056</v>
      </c>
      <c r="E124" s="387" t="s">
        <v>2055</v>
      </c>
    </row>
    <row r="125" spans="1:5" x14ac:dyDescent="0.35">
      <c r="A125" s="109" t="s">
        <v>2188</v>
      </c>
      <c r="C125" s="387" t="s">
        <v>2192</v>
      </c>
      <c r="D125" s="387" t="s">
        <v>2192</v>
      </c>
    </row>
    <row r="126" spans="1:5" x14ac:dyDescent="0.35">
      <c r="A126" s="109" t="s">
        <v>2187</v>
      </c>
      <c r="C126" s="387" t="s">
        <v>2193</v>
      </c>
      <c r="D126" s="387" t="s">
        <v>2193</v>
      </c>
    </row>
    <row r="127" spans="1:5" x14ac:dyDescent="0.35">
      <c r="A127" s="109" t="s">
        <v>2186</v>
      </c>
      <c r="C127" s="387" t="s">
        <v>2194</v>
      </c>
      <c r="D127" s="387" t="s">
        <v>2194</v>
      </c>
    </row>
    <row r="128" spans="1:5" x14ac:dyDescent="0.35">
      <c r="A128" s="232" t="s">
        <v>2077</v>
      </c>
      <c r="C128" s="232" t="s">
        <v>2074</v>
      </c>
      <c r="D128" s="232" t="s">
        <v>2074</v>
      </c>
    </row>
    <row r="129" spans="1:6" x14ac:dyDescent="0.35">
      <c r="A129" s="232" t="s">
        <v>2078</v>
      </c>
      <c r="C129" s="232" t="s">
        <v>2075</v>
      </c>
      <c r="D129" s="232" t="s">
        <v>2075</v>
      </c>
    </row>
    <row r="130" spans="1:6" x14ac:dyDescent="0.35">
      <c r="A130" s="232" t="s">
        <v>2079</v>
      </c>
      <c r="C130" s="232" t="s">
        <v>2076</v>
      </c>
      <c r="D130" s="232" t="s">
        <v>2076</v>
      </c>
    </row>
    <row r="131" spans="1:6" x14ac:dyDescent="0.35">
      <c r="A131" s="232" t="s">
        <v>2101</v>
      </c>
      <c r="C131" s="232" t="s">
        <v>2102</v>
      </c>
      <c r="D131" s="232" t="s">
        <v>2102</v>
      </c>
      <c r="F131" s="387" t="s">
        <v>2103</v>
      </c>
    </row>
    <row r="132" spans="1:6" x14ac:dyDescent="0.35">
      <c r="A132" s="232" t="s">
        <v>2110</v>
      </c>
      <c r="C132" s="387" t="s">
        <v>2111</v>
      </c>
      <c r="D132" s="387" t="s">
        <v>2111</v>
      </c>
    </row>
    <row r="133" spans="1:6" x14ac:dyDescent="0.35">
      <c r="A133" s="387" t="s">
        <v>2113</v>
      </c>
      <c r="C133" s="387" t="s">
        <v>2112</v>
      </c>
      <c r="D133" s="387" t="s">
        <v>2112</v>
      </c>
    </row>
    <row r="134" spans="1:6" x14ac:dyDescent="0.35">
      <c r="A134" s="387" t="s">
        <v>2114</v>
      </c>
      <c r="C134" s="387" t="s">
        <v>2115</v>
      </c>
      <c r="D134" s="387" t="s">
        <v>2115</v>
      </c>
    </row>
    <row r="135" spans="1:6" x14ac:dyDescent="0.35">
      <c r="A135" s="232" t="s">
        <v>2134</v>
      </c>
      <c r="C135" s="232" t="s">
        <v>2133</v>
      </c>
      <c r="D135" s="232" t="s">
        <v>2133</v>
      </c>
    </row>
    <row r="136" spans="1:6" x14ac:dyDescent="0.35">
      <c r="A136" s="232" t="s">
        <v>2135</v>
      </c>
      <c r="C136" s="232" t="s">
        <v>2136</v>
      </c>
      <c r="D136" s="232" t="s">
        <v>2136</v>
      </c>
    </row>
    <row r="137" spans="1:6" x14ac:dyDescent="0.35">
      <c r="A137" s="387" t="s">
        <v>2137</v>
      </c>
      <c r="B137" s="238" t="s">
        <v>1228</v>
      </c>
      <c r="C137" s="387" t="s">
        <v>2138</v>
      </c>
      <c r="D137" s="387" t="s">
        <v>2093</v>
      </c>
    </row>
    <row r="138" spans="1:6" x14ac:dyDescent="0.35">
      <c r="A138" s="109" t="s">
        <v>2150</v>
      </c>
      <c r="C138" s="109" t="s">
        <v>2153</v>
      </c>
      <c r="D138" s="109" t="s">
        <v>2153</v>
      </c>
    </row>
    <row r="139" spans="1:6" x14ac:dyDescent="0.35">
      <c r="A139" s="109" t="s">
        <v>2151</v>
      </c>
      <c r="C139" s="109" t="s">
        <v>2154</v>
      </c>
      <c r="D139" s="109" t="s">
        <v>2154</v>
      </c>
    </row>
    <row r="140" spans="1:6" x14ac:dyDescent="0.35">
      <c r="A140" s="109" t="s">
        <v>2152</v>
      </c>
      <c r="C140" s="109" t="s">
        <v>2155</v>
      </c>
      <c r="D140" s="109" t="s">
        <v>2155</v>
      </c>
    </row>
    <row r="141" spans="1:6" x14ac:dyDescent="0.35">
      <c r="A141" s="109" t="s">
        <v>2207</v>
      </c>
      <c r="C141" s="387" t="s">
        <v>2208</v>
      </c>
      <c r="D141" s="387" t="s">
        <v>2208</v>
      </c>
    </row>
    <row r="142" spans="1:6" x14ac:dyDescent="0.35">
      <c r="A142" s="109" t="s">
        <v>2219</v>
      </c>
      <c r="C142" s="109" t="s">
        <v>2220</v>
      </c>
      <c r="D142" s="109" t="s">
        <v>2220</v>
      </c>
    </row>
  </sheetData>
  <sortState xmlns:xlrd2="http://schemas.microsoft.com/office/spreadsheetml/2017/richdata2" ref="A2:C89">
    <sortCondition ref="A3:A89"/>
  </sortState>
  <dataValidations count="2">
    <dataValidation type="list" allowBlank="1" showInputMessage="1" showErrorMessage="1" sqref="A90:A91 A46:A49 A97:A106 A119:A121 A124 C128:D130 A128:A131 C135:D135 A136" xr:uid="{4B5563D3-FFEC-4F80-878D-1DD77E86D829}">
      <formula1>Treatments</formula1>
    </dataValidation>
    <dataValidation type="list" allowBlank="1" showInputMessage="1" showErrorMessage="1" sqref="A90:A91 A46:A49 A97:A106 A119:A121 A124 C128:D130 A128:A131 C135:D135 A136" xr:uid="{5FE5AFF7-F55E-4F45-BFA8-E15C6478D83E}">
      <formula1>Studies</formula1>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93F1E-81B5-AC47-A6F5-C326A3FD25AB}">
  <dimension ref="A1:AN46"/>
  <sheetViews>
    <sheetView zoomScaleNormal="100" workbookViewId="0">
      <selection activeCell="A2" sqref="A2"/>
    </sheetView>
  </sheetViews>
  <sheetFormatPr defaultColWidth="11.453125" defaultRowHeight="14.5" x14ac:dyDescent="0.35"/>
  <cols>
    <col min="1" max="1" width="27" style="110" customWidth="1"/>
    <col min="2" max="2" width="10.453125" style="246" customWidth="1"/>
    <col min="3" max="3" width="6" customWidth="1"/>
    <col min="4" max="4" width="4.1796875" customWidth="1"/>
    <col min="5" max="5" width="5.1796875" customWidth="1"/>
    <col min="6" max="6" width="5.453125" bestFit="1" customWidth="1"/>
    <col min="7" max="7" width="4" customWidth="1"/>
    <col min="8" max="8" width="3.453125" bestFit="1" customWidth="1"/>
    <col min="9" max="9" width="4.1796875" bestFit="1" customWidth="1"/>
    <col min="10" max="10" width="8.81640625" bestFit="1" customWidth="1"/>
    <col min="11" max="11" width="8.81640625" customWidth="1"/>
    <col min="12" max="12" width="9.453125" customWidth="1"/>
    <col min="13" max="13" width="8.453125" bestFit="1" customWidth="1"/>
  </cols>
  <sheetData>
    <row r="1" spans="1:40" s="111" customFormat="1" ht="15" thickBot="1" x14ac:dyDescent="0.4">
      <c r="A1" s="113" t="s">
        <v>905</v>
      </c>
      <c r="B1" s="388" t="s">
        <v>1164</v>
      </c>
      <c r="C1" s="111" t="s">
        <v>1237</v>
      </c>
      <c r="D1" s="111" t="s">
        <v>1106</v>
      </c>
      <c r="E1" s="111" t="s">
        <v>1149</v>
      </c>
      <c r="F1" s="111" t="s">
        <v>1150</v>
      </c>
      <c r="G1" s="111" t="s">
        <v>1107</v>
      </c>
      <c r="H1" s="111" t="s">
        <v>1162</v>
      </c>
      <c r="I1" s="111" t="s">
        <v>1168</v>
      </c>
      <c r="J1" s="111" t="s">
        <v>1412</v>
      </c>
      <c r="K1" s="111" t="s">
        <v>1413</v>
      </c>
      <c r="L1" s="111" t="s">
        <v>1414</v>
      </c>
      <c r="M1" s="111" t="s">
        <v>1415</v>
      </c>
      <c r="N1" s="111" t="s">
        <v>1644</v>
      </c>
      <c r="O1" s="111" t="s">
        <v>1645</v>
      </c>
      <c r="P1" s="111" t="s">
        <v>1646</v>
      </c>
      <c r="Q1" s="111" t="s">
        <v>1647</v>
      </c>
    </row>
    <row r="2" spans="1:40" ht="16" customHeight="1" x14ac:dyDescent="0.35">
      <c r="A2" s="357" t="s">
        <v>293</v>
      </c>
      <c r="B2" s="357">
        <v>3</v>
      </c>
      <c r="C2" s="357"/>
      <c r="D2" s="357"/>
      <c r="E2" s="357"/>
      <c r="F2" s="357"/>
      <c r="G2" s="357"/>
      <c r="H2" s="357"/>
      <c r="I2" s="357"/>
      <c r="J2" s="357"/>
      <c r="K2" s="357"/>
      <c r="L2" s="357"/>
      <c r="M2" s="357">
        <v>10</v>
      </c>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c r="AN2" s="357"/>
    </row>
    <row r="3" spans="1:40" ht="16" customHeight="1" x14ac:dyDescent="0.35">
      <c r="A3" s="357" t="s">
        <v>292</v>
      </c>
      <c r="B3" s="357">
        <v>3</v>
      </c>
      <c r="C3" s="357"/>
      <c r="D3" s="357"/>
      <c r="E3" s="357"/>
      <c r="F3" s="357"/>
      <c r="G3" s="357"/>
      <c r="H3" s="357"/>
      <c r="I3" s="357"/>
      <c r="J3" s="357"/>
      <c r="K3" s="357"/>
      <c r="L3" s="357"/>
      <c r="M3" s="357">
        <v>11</v>
      </c>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57"/>
      <c r="AN3" s="357"/>
    </row>
    <row r="4" spans="1:40" ht="16" customHeight="1" x14ac:dyDescent="0.35">
      <c r="A4" s="357" t="s">
        <v>290</v>
      </c>
      <c r="B4" s="357">
        <v>2</v>
      </c>
      <c r="C4" s="357"/>
      <c r="D4" s="357"/>
      <c r="E4" s="357"/>
      <c r="F4" s="357"/>
      <c r="G4" s="357"/>
      <c r="H4" s="357"/>
      <c r="I4" s="357"/>
      <c r="J4" s="357"/>
      <c r="K4" s="357"/>
      <c r="L4" s="357"/>
      <c r="M4" s="357">
        <v>7</v>
      </c>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57"/>
      <c r="AN4" s="357"/>
    </row>
    <row r="5" spans="1:40" ht="16" customHeight="1" x14ac:dyDescent="0.35">
      <c r="A5" s="360" t="s">
        <v>694</v>
      </c>
      <c r="B5" s="360">
        <v>12</v>
      </c>
      <c r="C5" s="360">
        <v>1</v>
      </c>
      <c r="D5" s="360"/>
      <c r="E5" s="360"/>
      <c r="F5" s="360"/>
      <c r="G5" s="360"/>
      <c r="H5" s="360"/>
      <c r="I5" s="360"/>
      <c r="J5" s="360">
        <v>1</v>
      </c>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c r="AL5" s="360"/>
      <c r="AM5" s="360"/>
      <c r="AN5" s="360"/>
    </row>
    <row r="6" spans="1:40" ht="16" customHeight="1" x14ac:dyDescent="0.35">
      <c r="A6" s="360" t="s">
        <v>787</v>
      </c>
      <c r="B6" s="360">
        <v>3</v>
      </c>
      <c r="C6" s="360">
        <v>2</v>
      </c>
      <c r="D6" s="360"/>
      <c r="E6" s="360"/>
      <c r="F6" s="360"/>
      <c r="G6" s="360"/>
      <c r="H6" s="360"/>
      <c r="I6" s="360"/>
      <c r="J6" s="360">
        <v>2</v>
      </c>
      <c r="K6" s="360"/>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360"/>
      <c r="AK6" s="360"/>
      <c r="AL6" s="360"/>
      <c r="AM6" s="360"/>
      <c r="AN6" s="360"/>
    </row>
    <row r="7" spans="1:40" ht="16" customHeight="1" x14ac:dyDescent="0.35">
      <c r="A7" s="360" t="s">
        <v>785</v>
      </c>
      <c r="B7" s="360">
        <v>2</v>
      </c>
      <c r="C7" s="360"/>
      <c r="D7" s="360"/>
      <c r="E7" s="360"/>
      <c r="F7" s="360"/>
      <c r="G7" s="360"/>
      <c r="H7" s="360"/>
      <c r="I7" s="360"/>
      <c r="J7" s="360">
        <v>3</v>
      </c>
      <c r="K7" s="360"/>
      <c r="L7" s="360"/>
      <c r="M7" s="360"/>
      <c r="N7" s="360"/>
      <c r="O7" s="360"/>
      <c r="P7" s="360"/>
      <c r="Q7" s="360"/>
      <c r="R7" s="360"/>
      <c r="S7" s="360"/>
      <c r="T7" s="360"/>
      <c r="U7" s="360"/>
      <c r="V7" s="360"/>
      <c r="W7" s="360"/>
      <c r="X7" s="360"/>
      <c r="Y7" s="360"/>
      <c r="Z7" s="360"/>
      <c r="AA7" s="360"/>
      <c r="AB7" s="360"/>
      <c r="AC7" s="360"/>
      <c r="AD7" s="360"/>
      <c r="AE7" s="360"/>
      <c r="AF7" s="360"/>
      <c r="AG7" s="360"/>
      <c r="AH7" s="360"/>
      <c r="AI7" s="360"/>
      <c r="AJ7" s="360"/>
      <c r="AK7" s="360"/>
      <c r="AL7" s="360"/>
      <c r="AM7" s="360"/>
      <c r="AN7" s="360"/>
    </row>
    <row r="8" spans="1:40" ht="16" customHeight="1" x14ac:dyDescent="0.35">
      <c r="A8" s="363" t="s">
        <v>350</v>
      </c>
      <c r="B8" s="363">
        <v>2</v>
      </c>
      <c r="C8" s="363"/>
      <c r="D8" s="363"/>
      <c r="E8" s="363"/>
      <c r="F8" s="363"/>
      <c r="G8" s="363"/>
      <c r="H8" s="363"/>
      <c r="I8" s="363"/>
      <c r="J8" s="363"/>
      <c r="K8" s="363"/>
      <c r="L8" s="363">
        <v>4</v>
      </c>
      <c r="M8" s="363"/>
      <c r="N8" s="363"/>
      <c r="O8" s="363"/>
      <c r="P8" s="363"/>
      <c r="Q8" s="363"/>
      <c r="R8" s="363"/>
      <c r="S8" s="363"/>
      <c r="T8" s="363"/>
      <c r="U8" s="363"/>
      <c r="V8" s="363"/>
      <c r="W8" s="363"/>
      <c r="X8" s="363"/>
      <c r="Y8" s="363"/>
      <c r="Z8" s="363"/>
      <c r="AA8" s="363"/>
      <c r="AB8" s="363"/>
      <c r="AC8" s="363"/>
      <c r="AD8" s="363"/>
      <c r="AE8" s="363"/>
      <c r="AF8" s="363"/>
      <c r="AG8" s="363"/>
      <c r="AH8" s="363"/>
      <c r="AI8" s="363"/>
      <c r="AJ8" s="363"/>
      <c r="AK8" s="363"/>
      <c r="AL8" s="363"/>
      <c r="AM8" s="363"/>
      <c r="AN8" s="363"/>
    </row>
    <row r="9" spans="1:40" ht="16" customHeight="1" x14ac:dyDescent="0.35">
      <c r="A9" s="365" t="s">
        <v>154</v>
      </c>
      <c r="B9" s="365">
        <v>85</v>
      </c>
      <c r="C9" s="365"/>
      <c r="D9" s="365">
        <v>1</v>
      </c>
      <c r="E9" s="365"/>
      <c r="F9" s="365"/>
      <c r="G9" s="365"/>
      <c r="H9" s="365"/>
      <c r="I9" s="365"/>
      <c r="J9" s="365"/>
      <c r="K9" s="365">
        <v>1</v>
      </c>
      <c r="L9" s="365"/>
      <c r="M9" s="365"/>
      <c r="N9" s="365"/>
      <c r="O9" s="365"/>
      <c r="P9" s="365"/>
      <c r="Q9" s="365"/>
      <c r="R9" s="365"/>
      <c r="S9" s="365"/>
      <c r="T9" s="365"/>
      <c r="U9" s="365"/>
      <c r="V9" s="365"/>
      <c r="W9" s="365"/>
      <c r="X9" s="365"/>
      <c r="Y9" s="365"/>
      <c r="Z9" s="365"/>
      <c r="AA9" s="365"/>
      <c r="AB9" s="365"/>
      <c r="AC9" s="365"/>
      <c r="AD9" s="365"/>
      <c r="AE9" s="365"/>
      <c r="AF9" s="365"/>
      <c r="AG9" s="365"/>
      <c r="AH9" s="365"/>
      <c r="AI9" s="365"/>
      <c r="AJ9" s="365"/>
      <c r="AK9" s="365"/>
      <c r="AL9" s="365"/>
      <c r="AM9" s="365"/>
      <c r="AN9" s="365"/>
    </row>
    <row r="10" spans="1:40" ht="16" customHeight="1" x14ac:dyDescent="0.35">
      <c r="A10" s="365" t="s">
        <v>898</v>
      </c>
      <c r="B10" s="365">
        <v>2</v>
      </c>
      <c r="C10" s="365"/>
      <c r="D10" s="365"/>
      <c r="E10" s="365"/>
      <c r="F10" s="365"/>
      <c r="G10" s="365"/>
      <c r="H10" s="365"/>
      <c r="I10" s="365"/>
      <c r="J10" s="365"/>
      <c r="K10" s="365">
        <v>4</v>
      </c>
      <c r="L10" s="365"/>
      <c r="M10" s="365"/>
      <c r="N10" s="365"/>
      <c r="O10" s="365"/>
      <c r="P10" s="365"/>
      <c r="Q10" s="365"/>
      <c r="R10" s="365"/>
      <c r="S10" s="365"/>
      <c r="T10" s="365"/>
      <c r="U10" s="365"/>
      <c r="V10" s="365"/>
      <c r="W10" s="365"/>
      <c r="X10" s="365"/>
      <c r="Y10" s="365"/>
      <c r="Z10" s="365"/>
      <c r="AA10" s="365"/>
      <c r="AB10" s="365"/>
      <c r="AC10" s="365"/>
      <c r="AD10" s="365"/>
      <c r="AE10" s="365"/>
      <c r="AF10" s="365"/>
      <c r="AG10" s="365"/>
      <c r="AH10" s="365"/>
      <c r="AI10" s="365"/>
      <c r="AJ10" s="365"/>
      <c r="AK10" s="365"/>
      <c r="AL10" s="365"/>
      <c r="AM10" s="365"/>
      <c r="AN10" s="365"/>
    </row>
    <row r="11" spans="1:40" ht="16" customHeight="1" x14ac:dyDescent="0.35">
      <c r="A11" s="365" t="s">
        <v>786</v>
      </c>
      <c r="B11" s="365">
        <v>3</v>
      </c>
      <c r="C11" s="365"/>
      <c r="D11" s="365">
        <v>2</v>
      </c>
      <c r="E11" s="365"/>
      <c r="F11" s="365"/>
      <c r="G11" s="365"/>
      <c r="H11" s="365"/>
      <c r="I11" s="365"/>
      <c r="J11" s="365"/>
      <c r="K11" s="365">
        <v>2</v>
      </c>
      <c r="L11" s="365"/>
      <c r="M11" s="365"/>
      <c r="N11" s="365"/>
      <c r="O11" s="365"/>
      <c r="P11" s="365"/>
      <c r="Q11" s="365"/>
      <c r="R11" s="365"/>
      <c r="S11" s="365"/>
      <c r="T11" s="365"/>
      <c r="U11" s="365"/>
      <c r="V11" s="365"/>
      <c r="W11" s="365"/>
      <c r="X11" s="365"/>
      <c r="Y11" s="365"/>
      <c r="Z11" s="365"/>
      <c r="AA11" s="365"/>
      <c r="AB11" s="365"/>
      <c r="AC11" s="365"/>
      <c r="AD11" s="365"/>
      <c r="AE11" s="365"/>
      <c r="AF11" s="365"/>
      <c r="AG11" s="365"/>
      <c r="AH11" s="365"/>
      <c r="AI11" s="365"/>
      <c r="AJ11" s="365"/>
      <c r="AK11" s="365"/>
      <c r="AL11" s="365"/>
      <c r="AM11" s="365"/>
      <c r="AN11" s="365"/>
    </row>
    <row r="12" spans="1:40" ht="16" customHeight="1" x14ac:dyDescent="0.35">
      <c r="A12" s="363" t="s">
        <v>151</v>
      </c>
      <c r="B12" s="363">
        <v>134</v>
      </c>
      <c r="C12" s="363"/>
      <c r="D12" s="363"/>
      <c r="E12" s="363">
        <v>1</v>
      </c>
      <c r="F12" s="363"/>
      <c r="G12" s="363"/>
      <c r="H12" s="363"/>
      <c r="I12" s="363"/>
      <c r="J12" s="363"/>
      <c r="K12" s="363"/>
      <c r="L12" s="363">
        <v>1</v>
      </c>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row>
    <row r="13" spans="1:40" ht="16" customHeight="1" x14ac:dyDescent="0.35">
      <c r="A13" s="365" t="s">
        <v>181</v>
      </c>
      <c r="B13" s="365">
        <v>4</v>
      </c>
      <c r="C13" s="365"/>
      <c r="D13" s="365"/>
      <c r="E13" s="365"/>
      <c r="F13" s="365"/>
      <c r="G13" s="365"/>
      <c r="H13" s="365"/>
      <c r="I13" s="365"/>
      <c r="J13" s="365"/>
      <c r="K13" s="365">
        <v>6</v>
      </c>
      <c r="L13" s="365"/>
      <c r="M13" s="365"/>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5"/>
      <c r="AK13" s="365"/>
      <c r="AL13" s="365"/>
      <c r="AM13" s="365"/>
      <c r="AN13" s="365"/>
    </row>
    <row r="14" spans="1:40" ht="16" customHeight="1" x14ac:dyDescent="0.35">
      <c r="A14" s="368" t="s">
        <v>157</v>
      </c>
      <c r="B14" s="368">
        <v>2</v>
      </c>
      <c r="C14" s="368"/>
      <c r="D14" s="368"/>
      <c r="E14" s="368"/>
      <c r="F14" s="368"/>
      <c r="G14" s="368"/>
      <c r="H14" s="368"/>
      <c r="I14" s="368"/>
      <c r="J14" s="368"/>
      <c r="K14" s="368"/>
      <c r="L14" s="368"/>
      <c r="M14" s="368">
        <v>13</v>
      </c>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368"/>
    </row>
    <row r="15" spans="1:40" ht="16" customHeight="1" x14ac:dyDescent="0.35">
      <c r="A15" s="368" t="s">
        <v>1035</v>
      </c>
      <c r="B15" s="368">
        <v>2</v>
      </c>
      <c r="C15" s="368"/>
      <c r="D15" s="368"/>
      <c r="E15" s="368"/>
      <c r="F15" s="368"/>
      <c r="G15" s="368"/>
      <c r="H15" s="368"/>
      <c r="I15" s="368"/>
      <c r="J15" s="368"/>
      <c r="K15" s="368"/>
      <c r="L15" s="368"/>
      <c r="M15" s="368">
        <v>12</v>
      </c>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c r="AM15" s="368"/>
      <c r="AN15" s="368"/>
    </row>
    <row r="16" spans="1:40" ht="16" customHeight="1" x14ac:dyDescent="0.35">
      <c r="A16" s="368" t="s">
        <v>288</v>
      </c>
      <c r="B16" s="368">
        <v>3</v>
      </c>
      <c r="C16" s="368"/>
      <c r="D16" s="368"/>
      <c r="E16" s="368"/>
      <c r="F16" s="368"/>
      <c r="G16" s="368"/>
      <c r="H16" s="368"/>
      <c r="I16" s="368"/>
      <c r="J16" s="368"/>
      <c r="K16" s="368"/>
      <c r="L16" s="368"/>
      <c r="M16" s="368">
        <v>6</v>
      </c>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c r="AM16" s="368"/>
      <c r="AN16" s="368"/>
    </row>
    <row r="17" spans="1:40" ht="16" customHeight="1" x14ac:dyDescent="0.35">
      <c r="A17" s="363" t="s">
        <v>149</v>
      </c>
      <c r="B17" s="363">
        <v>6</v>
      </c>
      <c r="C17" s="363"/>
      <c r="D17" s="363"/>
      <c r="E17" s="363"/>
      <c r="F17" s="363"/>
      <c r="G17" s="363"/>
      <c r="H17" s="363"/>
      <c r="I17" s="363"/>
      <c r="J17" s="363"/>
      <c r="K17" s="363"/>
      <c r="L17" s="363">
        <v>2</v>
      </c>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3"/>
      <c r="AK17" s="363"/>
      <c r="AL17" s="363"/>
      <c r="AM17" s="363"/>
      <c r="AN17" s="363"/>
    </row>
    <row r="18" spans="1:40" ht="16" customHeight="1" x14ac:dyDescent="0.35">
      <c r="A18" s="368" t="s">
        <v>289</v>
      </c>
      <c r="B18" s="368">
        <v>16</v>
      </c>
      <c r="C18" s="368"/>
      <c r="D18" s="368"/>
      <c r="E18" s="368"/>
      <c r="F18" s="368"/>
      <c r="G18" s="368">
        <v>1</v>
      </c>
      <c r="H18" s="368"/>
      <c r="I18" s="368"/>
      <c r="J18" s="368"/>
      <c r="K18" s="368"/>
      <c r="L18" s="368"/>
      <c r="M18" s="368">
        <v>3</v>
      </c>
      <c r="N18" s="368"/>
      <c r="O18" s="368"/>
      <c r="P18" s="368"/>
      <c r="Q18" s="368"/>
      <c r="R18" s="368"/>
      <c r="S18" s="368"/>
      <c r="T18" s="368"/>
      <c r="U18" s="368"/>
      <c r="V18" s="368"/>
      <c r="W18" s="368"/>
      <c r="X18" s="368"/>
      <c r="Y18" s="368"/>
      <c r="Z18" s="368"/>
      <c r="AA18" s="368"/>
      <c r="AB18" s="368"/>
      <c r="AC18" s="368"/>
      <c r="AD18" s="368"/>
      <c r="AE18" s="368"/>
      <c r="AF18" s="368"/>
      <c r="AG18" s="368"/>
      <c r="AH18" s="368"/>
      <c r="AI18" s="368"/>
      <c r="AJ18" s="368"/>
      <c r="AK18" s="368"/>
      <c r="AL18" s="368"/>
      <c r="AM18" s="368"/>
      <c r="AN18" s="368"/>
    </row>
    <row r="19" spans="1:40" ht="16" customHeight="1" x14ac:dyDescent="0.35">
      <c r="A19" s="368" t="s">
        <v>291</v>
      </c>
      <c r="B19" s="368">
        <v>16</v>
      </c>
      <c r="C19" s="368"/>
      <c r="D19" s="368"/>
      <c r="E19" s="368"/>
      <c r="F19" s="368"/>
      <c r="G19" s="368">
        <v>2</v>
      </c>
      <c r="H19" s="368"/>
      <c r="I19" s="368"/>
      <c r="J19" s="368"/>
      <c r="K19" s="368"/>
      <c r="L19" s="368"/>
      <c r="M19" s="368">
        <v>2</v>
      </c>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c r="AM19" s="368"/>
      <c r="AN19" s="368"/>
    </row>
    <row r="20" spans="1:40" ht="16" customHeight="1" x14ac:dyDescent="0.35">
      <c r="A20" s="368" t="s">
        <v>183</v>
      </c>
      <c r="B20" s="368">
        <v>6</v>
      </c>
      <c r="C20" s="368"/>
      <c r="D20" s="368"/>
      <c r="E20" s="368"/>
      <c r="F20" s="368"/>
      <c r="G20" s="368">
        <v>3</v>
      </c>
      <c r="H20" s="368"/>
      <c r="I20" s="368"/>
      <c r="J20" s="368"/>
      <c r="K20" s="368"/>
      <c r="L20" s="368"/>
      <c r="M20" s="368">
        <v>4</v>
      </c>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row>
    <row r="21" spans="1:40" ht="16" customHeight="1" x14ac:dyDescent="0.35">
      <c r="A21" t="s">
        <v>153</v>
      </c>
      <c r="B21" s="245">
        <v>87</v>
      </c>
      <c r="F21">
        <v>1</v>
      </c>
    </row>
    <row r="22" spans="1:40" ht="16" customHeight="1" x14ac:dyDescent="0.35">
      <c r="A22" s="368" t="s">
        <v>695</v>
      </c>
      <c r="B22" s="368">
        <v>55</v>
      </c>
      <c r="C22" s="368"/>
      <c r="D22" s="368"/>
      <c r="E22" s="368"/>
      <c r="F22" s="368"/>
      <c r="G22" s="368">
        <v>4</v>
      </c>
      <c r="H22" s="368"/>
      <c r="I22" s="368"/>
      <c r="J22" s="368"/>
      <c r="K22" s="368"/>
      <c r="L22" s="368"/>
      <c r="M22" s="368">
        <v>1</v>
      </c>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368"/>
      <c r="AM22" s="368"/>
      <c r="AN22" s="368"/>
    </row>
    <row r="23" spans="1:40" ht="16" customHeight="1" x14ac:dyDescent="0.35">
      <c r="A23" s="368" t="s">
        <v>348</v>
      </c>
      <c r="B23" s="368">
        <v>6</v>
      </c>
      <c r="C23" s="368"/>
      <c r="D23" s="368"/>
      <c r="E23" s="368"/>
      <c r="F23" s="368"/>
      <c r="G23" s="368"/>
      <c r="H23" s="368"/>
      <c r="I23" s="368"/>
      <c r="J23" s="368"/>
      <c r="K23" s="368"/>
      <c r="L23" s="368"/>
      <c r="M23" s="368">
        <v>5</v>
      </c>
      <c r="N23" s="368"/>
      <c r="O23" s="368"/>
      <c r="P23" s="368"/>
      <c r="Q23" s="368"/>
      <c r="R23" s="368"/>
      <c r="S23" s="368"/>
      <c r="T23" s="368"/>
      <c r="U23" s="368"/>
      <c r="V23" s="368"/>
      <c r="W23" s="368"/>
      <c r="X23" s="368"/>
      <c r="Y23" s="368"/>
      <c r="Z23" s="368"/>
      <c r="AA23" s="368"/>
      <c r="AB23" s="368"/>
      <c r="AC23" s="368"/>
      <c r="AD23" s="368"/>
      <c r="AE23" s="368"/>
      <c r="AF23" s="368"/>
      <c r="AG23" s="368"/>
      <c r="AH23" s="368"/>
      <c r="AI23" s="368"/>
      <c r="AJ23" s="368"/>
      <c r="AK23" s="368"/>
      <c r="AL23" s="368"/>
      <c r="AM23" s="368"/>
      <c r="AN23" s="368"/>
    </row>
    <row r="24" spans="1:40" ht="16" customHeight="1" x14ac:dyDescent="0.35">
      <c r="A24" s="368" t="s">
        <v>297</v>
      </c>
      <c r="B24" s="368">
        <v>18</v>
      </c>
      <c r="C24" s="368"/>
      <c r="D24" s="368"/>
      <c r="E24" s="368"/>
      <c r="F24" s="368"/>
      <c r="G24" s="368"/>
      <c r="H24" s="368"/>
      <c r="I24" s="368"/>
      <c r="J24" s="368"/>
      <c r="K24" s="368"/>
      <c r="L24" s="368"/>
      <c r="M24" s="368">
        <v>8</v>
      </c>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8"/>
    </row>
    <row r="25" spans="1:40" ht="16" customHeight="1" x14ac:dyDescent="0.35">
      <c r="A25" s="365" t="s">
        <v>347</v>
      </c>
      <c r="B25" s="365">
        <v>2</v>
      </c>
      <c r="C25" s="365"/>
      <c r="D25" s="365"/>
      <c r="E25" s="365"/>
      <c r="F25" s="365"/>
      <c r="G25" s="365"/>
      <c r="H25" s="365"/>
      <c r="I25" s="365"/>
      <c r="J25" s="365"/>
      <c r="K25" s="365">
        <v>5</v>
      </c>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5"/>
      <c r="AM25" s="365"/>
      <c r="AN25" s="365"/>
    </row>
    <row r="26" spans="1:40" ht="16" customHeight="1" x14ac:dyDescent="0.35">
      <c r="A26" s="363" t="s">
        <v>146</v>
      </c>
      <c r="B26" s="363">
        <v>4</v>
      </c>
      <c r="C26" s="363"/>
      <c r="D26" s="363"/>
      <c r="E26" s="363"/>
      <c r="F26" s="363"/>
      <c r="G26" s="363"/>
      <c r="H26" s="363"/>
      <c r="I26" s="363"/>
      <c r="J26" s="363"/>
      <c r="K26" s="363"/>
      <c r="L26" s="363">
        <v>3</v>
      </c>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3"/>
      <c r="AL26" s="363"/>
      <c r="AM26" s="363"/>
      <c r="AN26" s="363"/>
    </row>
    <row r="27" spans="1:40" ht="16" customHeight="1" x14ac:dyDescent="0.35">
      <c r="A27" s="365" t="s">
        <v>155</v>
      </c>
      <c r="B27" s="365">
        <v>2</v>
      </c>
      <c r="C27" s="365"/>
      <c r="D27" s="365"/>
      <c r="E27" s="365"/>
      <c r="F27" s="365"/>
      <c r="G27" s="365"/>
      <c r="H27" s="365"/>
      <c r="I27" s="365"/>
      <c r="J27" s="365"/>
      <c r="K27" s="365">
        <v>3</v>
      </c>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row>
    <row r="28" spans="1:40" ht="16" customHeight="1" x14ac:dyDescent="0.35">
      <c r="A28" s="363" t="s">
        <v>376</v>
      </c>
      <c r="B28" s="363">
        <v>2</v>
      </c>
      <c r="C28" s="363"/>
      <c r="D28" s="363"/>
      <c r="E28" s="363"/>
      <c r="F28" s="363"/>
      <c r="G28" s="363"/>
      <c r="H28" s="363"/>
      <c r="I28" s="363"/>
      <c r="J28" s="363"/>
      <c r="K28" s="363"/>
      <c r="L28" s="363">
        <v>5</v>
      </c>
      <c r="M28" s="363"/>
      <c r="N28" s="363"/>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363"/>
      <c r="AL28" s="363"/>
      <c r="AM28" s="363"/>
      <c r="AN28" s="363"/>
    </row>
    <row r="29" spans="1:40" ht="16" customHeight="1" x14ac:dyDescent="0.35">
      <c r="A29" s="368" t="s">
        <v>156</v>
      </c>
      <c r="B29" s="368">
        <v>6</v>
      </c>
      <c r="C29" s="368"/>
      <c r="D29" s="368"/>
      <c r="E29" s="368"/>
      <c r="F29" s="368"/>
      <c r="G29" s="368"/>
      <c r="H29" s="368"/>
      <c r="I29" s="368"/>
      <c r="J29" s="368"/>
      <c r="K29" s="368"/>
      <c r="L29" s="368"/>
      <c r="M29" s="368">
        <v>9</v>
      </c>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8"/>
      <c r="AM29" s="368"/>
      <c r="AN29" s="368"/>
    </row>
    <row r="30" spans="1:40" x14ac:dyDescent="0.35">
      <c r="A30" s="245" t="s">
        <v>1163</v>
      </c>
      <c r="B30" s="245">
        <v>156</v>
      </c>
      <c r="C30" s="245"/>
      <c r="D30" s="245"/>
      <c r="E30" s="245"/>
      <c r="F30" s="245"/>
      <c r="G30" s="245"/>
      <c r="H30" s="245">
        <v>1</v>
      </c>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row>
    <row r="31" spans="1:40" x14ac:dyDescent="0.35">
      <c r="A31" s="245" t="s">
        <v>1167</v>
      </c>
      <c r="B31" s="245">
        <v>162</v>
      </c>
      <c r="C31" s="245"/>
      <c r="D31" s="245"/>
      <c r="E31" s="245"/>
      <c r="F31" s="245"/>
      <c r="G31" s="245"/>
      <c r="H31" s="245"/>
      <c r="I31" s="245">
        <v>1</v>
      </c>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row>
    <row r="32" spans="1:40" x14ac:dyDescent="0.35">
      <c r="A32" s="110" t="s">
        <v>1268</v>
      </c>
      <c r="B32" s="245">
        <v>0</v>
      </c>
      <c r="N32">
        <v>1</v>
      </c>
    </row>
    <row r="33" spans="1:17" x14ac:dyDescent="0.35">
      <c r="A33" s="110" t="s">
        <v>1258</v>
      </c>
      <c r="B33" s="245">
        <v>0</v>
      </c>
      <c r="O33">
        <v>1</v>
      </c>
    </row>
    <row r="34" spans="1:17" x14ac:dyDescent="0.35">
      <c r="A34" s="110" t="s">
        <v>1243</v>
      </c>
      <c r="B34" s="245">
        <v>0</v>
      </c>
      <c r="P34">
        <v>1</v>
      </c>
    </row>
    <row r="35" spans="1:17" x14ac:dyDescent="0.35">
      <c r="A35" s="110" t="s">
        <v>1244</v>
      </c>
      <c r="B35" s="245">
        <v>0</v>
      </c>
      <c r="Q35">
        <v>1</v>
      </c>
    </row>
    <row r="36" spans="1:17" x14ac:dyDescent="0.35">
      <c r="B36" s="245">
        <v>0</v>
      </c>
    </row>
    <row r="37" spans="1:17" x14ac:dyDescent="0.35">
      <c r="B37" s="245">
        <v>0</v>
      </c>
    </row>
    <row r="38" spans="1:17" x14ac:dyDescent="0.35">
      <c r="B38" s="245">
        <v>0</v>
      </c>
    </row>
    <row r="39" spans="1:17" x14ac:dyDescent="0.35">
      <c r="B39" s="245">
        <v>0</v>
      </c>
    </row>
    <row r="40" spans="1:17" x14ac:dyDescent="0.35">
      <c r="B40" s="245">
        <v>0</v>
      </c>
    </row>
    <row r="41" spans="1:17" x14ac:dyDescent="0.35">
      <c r="B41" s="245">
        <v>0</v>
      </c>
    </row>
    <row r="42" spans="1:17" x14ac:dyDescent="0.35">
      <c r="B42" s="245">
        <v>0</v>
      </c>
    </row>
    <row r="43" spans="1:17" x14ac:dyDescent="0.35">
      <c r="B43" s="245">
        <v>0</v>
      </c>
    </row>
    <row r="44" spans="1:17" x14ac:dyDescent="0.35">
      <c r="B44" s="245">
        <v>0</v>
      </c>
    </row>
    <row r="45" spans="1:17" x14ac:dyDescent="0.35">
      <c r="B45" s="245">
        <v>0</v>
      </c>
    </row>
    <row r="46" spans="1:17" x14ac:dyDescent="0.35">
      <c r="B46" s="245">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CBEB5-6D98-3A42-A908-F8BF1ADF67DF}">
  <dimension ref="A1:F46"/>
  <sheetViews>
    <sheetView topLeftCell="A3" zoomScaleNormal="100" workbookViewId="0">
      <selection activeCell="C31" sqref="C31"/>
    </sheetView>
  </sheetViews>
  <sheetFormatPr defaultColWidth="11.453125" defaultRowHeight="14.5" x14ac:dyDescent="0.35"/>
  <cols>
    <col min="1" max="1" width="27" style="110" customWidth="1"/>
    <col min="2" max="2" width="5.453125" style="246" customWidth="1"/>
    <col min="3" max="3" width="10.1796875" style="111" customWidth="1"/>
    <col min="4" max="4" width="6" style="111" customWidth="1"/>
    <col min="5" max="5" width="5.1796875" customWidth="1"/>
  </cols>
  <sheetData>
    <row r="1" spans="1:6" ht="15" thickBot="1" x14ac:dyDescent="0.4">
      <c r="A1" s="112" t="s">
        <v>905</v>
      </c>
      <c r="B1" s="244" t="s">
        <v>1164</v>
      </c>
      <c r="C1" s="113" t="s">
        <v>1108</v>
      </c>
      <c r="D1" s="243" t="s">
        <v>1151</v>
      </c>
      <c r="E1" t="s">
        <v>1234</v>
      </c>
    </row>
    <row r="2" spans="1:6" ht="16" customHeight="1" x14ac:dyDescent="0.35">
      <c r="A2" s="357" t="s">
        <v>293</v>
      </c>
      <c r="B2" s="357">
        <f>COUNTIF(OUTCOMES!E:E,OutcomeCodes_OLD!A2)</f>
        <v>3</v>
      </c>
      <c r="C2" s="358"/>
      <c r="D2" s="359" t="s">
        <v>1107</v>
      </c>
      <c r="E2" s="357">
        <v>10</v>
      </c>
    </row>
    <row r="3" spans="1:6" ht="16" customHeight="1" x14ac:dyDescent="0.35">
      <c r="A3" s="357" t="s">
        <v>292</v>
      </c>
      <c r="B3" s="357">
        <f>COUNTIF(OUTCOMES!E:E,OutcomeCodes_OLD!A3)</f>
        <v>3</v>
      </c>
      <c r="C3" s="358"/>
      <c r="D3" s="359" t="s">
        <v>1107</v>
      </c>
      <c r="E3" s="357">
        <v>11</v>
      </c>
    </row>
    <row r="4" spans="1:6" ht="16" customHeight="1" x14ac:dyDescent="0.35">
      <c r="A4" s="357" t="s">
        <v>290</v>
      </c>
      <c r="B4" s="357">
        <f>COUNTIF(OUTCOMES!E:E,OutcomeCodes_OLD!A4)</f>
        <v>4</v>
      </c>
      <c r="C4" s="358"/>
      <c r="D4" s="359" t="s">
        <v>1107</v>
      </c>
      <c r="E4" s="357">
        <v>7</v>
      </c>
    </row>
    <row r="5" spans="1:6" ht="16" customHeight="1" x14ac:dyDescent="0.35">
      <c r="A5" s="360" t="s">
        <v>694</v>
      </c>
      <c r="B5" s="360">
        <f>COUNTIF(OUTCOMES!E:E,OutcomeCodes_OLD!A5)</f>
        <v>49</v>
      </c>
      <c r="C5" s="361" t="s">
        <v>1237</v>
      </c>
      <c r="D5" s="362" t="s">
        <v>1235</v>
      </c>
      <c r="E5" s="360">
        <v>1</v>
      </c>
    </row>
    <row r="6" spans="1:6" ht="16" customHeight="1" x14ac:dyDescent="0.35">
      <c r="A6" s="360" t="s">
        <v>787</v>
      </c>
      <c r="B6" s="360">
        <f>COUNTIF(OUTCOMES!E:E,OutcomeCodes_OLD!A6)</f>
        <v>3</v>
      </c>
      <c r="C6" s="361" t="s">
        <v>1237</v>
      </c>
      <c r="D6" s="362" t="s">
        <v>1235</v>
      </c>
      <c r="E6" s="360">
        <v>1</v>
      </c>
    </row>
    <row r="7" spans="1:6" ht="16" customHeight="1" x14ac:dyDescent="0.35">
      <c r="A7" s="360" t="s">
        <v>785</v>
      </c>
      <c r="B7" s="360">
        <f>COUNTIF(OUTCOMES!E:E,OutcomeCodes_OLD!A7)</f>
        <v>2</v>
      </c>
      <c r="C7" s="361"/>
      <c r="D7" s="362" t="s">
        <v>1235</v>
      </c>
      <c r="E7" s="360">
        <v>2</v>
      </c>
      <c r="F7" t="s">
        <v>1236</v>
      </c>
    </row>
    <row r="8" spans="1:6" ht="16" customHeight="1" x14ac:dyDescent="0.35">
      <c r="A8" s="363" t="s">
        <v>350</v>
      </c>
      <c r="B8" s="363">
        <f>COUNTIF(OUTCOMES!E:E,OutcomeCodes_OLD!A8)</f>
        <v>2</v>
      </c>
      <c r="C8" s="364"/>
      <c r="D8" s="364" t="s">
        <v>1233</v>
      </c>
      <c r="E8" s="363">
        <v>4</v>
      </c>
    </row>
    <row r="9" spans="1:6" ht="16" customHeight="1" x14ac:dyDescent="0.35">
      <c r="A9" s="365" t="s">
        <v>154</v>
      </c>
      <c r="B9" s="365">
        <f>COUNTIF(OUTCOMES!E:E,OutcomeCodes_OLD!A9)</f>
        <v>196</v>
      </c>
      <c r="C9" s="366" t="s">
        <v>1106</v>
      </c>
      <c r="D9" s="366" t="s">
        <v>1106</v>
      </c>
      <c r="E9" s="365">
        <v>1</v>
      </c>
    </row>
    <row r="10" spans="1:6" ht="16" customHeight="1" x14ac:dyDescent="0.35">
      <c r="A10" s="365" t="s">
        <v>898</v>
      </c>
      <c r="B10" s="365">
        <f>COUNTIF(OUTCOMES!E:E,OutcomeCodes_OLD!A10)</f>
        <v>2</v>
      </c>
      <c r="C10" s="366"/>
      <c r="D10" s="367" t="s">
        <v>1106</v>
      </c>
      <c r="E10" s="365">
        <v>3</v>
      </c>
    </row>
    <row r="11" spans="1:6" ht="16" customHeight="1" x14ac:dyDescent="0.35">
      <c r="A11" s="365" t="s">
        <v>786</v>
      </c>
      <c r="B11" s="365">
        <f>COUNTIF(OUTCOMES!E:E,OutcomeCodes_OLD!A11)</f>
        <v>3</v>
      </c>
      <c r="C11" s="366" t="s">
        <v>1106</v>
      </c>
      <c r="D11" s="366" t="s">
        <v>1106</v>
      </c>
      <c r="E11" s="365">
        <v>1</v>
      </c>
    </row>
    <row r="12" spans="1:6" ht="16" customHeight="1" x14ac:dyDescent="0.35">
      <c r="A12" s="363" t="s">
        <v>151</v>
      </c>
      <c r="B12" s="363">
        <f>COUNTIF(OUTCOMES!E:E,OutcomeCodes_OLD!A12)</f>
        <v>273</v>
      </c>
      <c r="C12" s="364" t="s">
        <v>1149</v>
      </c>
      <c r="D12" s="364" t="s">
        <v>1233</v>
      </c>
      <c r="E12" s="363">
        <v>1</v>
      </c>
    </row>
    <row r="13" spans="1:6" ht="16" customHeight="1" x14ac:dyDescent="0.35">
      <c r="A13" s="365" t="s">
        <v>181</v>
      </c>
      <c r="B13" s="365">
        <f>COUNTIF(OUTCOMES!E:E,OutcomeCodes_OLD!A13)</f>
        <v>4</v>
      </c>
      <c r="C13" s="366"/>
      <c r="D13" s="367" t="s">
        <v>1106</v>
      </c>
      <c r="E13" s="365">
        <v>5</v>
      </c>
    </row>
    <row r="14" spans="1:6" ht="16" customHeight="1" x14ac:dyDescent="0.35">
      <c r="A14" s="368" t="s">
        <v>157</v>
      </c>
      <c r="B14" s="368">
        <f>COUNTIF(OUTCOMES!E:E,OutcomeCodes_OLD!A14)</f>
        <v>2</v>
      </c>
      <c r="C14" s="369"/>
      <c r="D14" s="370" t="s">
        <v>1107</v>
      </c>
      <c r="E14" s="368">
        <v>13</v>
      </c>
    </row>
    <row r="15" spans="1:6" ht="16" customHeight="1" x14ac:dyDescent="0.35">
      <c r="A15" s="368" t="s">
        <v>1035</v>
      </c>
      <c r="B15" s="368">
        <f>COUNTIF(OUTCOMES!E:E,OutcomeCodes_OLD!A15)</f>
        <v>2</v>
      </c>
      <c r="C15" s="369"/>
      <c r="D15" s="370" t="s">
        <v>1107</v>
      </c>
      <c r="E15" s="368">
        <v>12</v>
      </c>
    </row>
    <row r="16" spans="1:6" ht="16" customHeight="1" x14ac:dyDescent="0.35">
      <c r="A16" s="368" t="s">
        <v>288</v>
      </c>
      <c r="B16" s="368">
        <f>COUNTIF(OUTCOMES!E:E,OutcomeCodes_OLD!A16)</f>
        <v>5</v>
      </c>
      <c r="C16" s="369"/>
      <c r="D16" s="370" t="s">
        <v>1107</v>
      </c>
      <c r="E16" s="368">
        <v>6</v>
      </c>
    </row>
    <row r="17" spans="1:5" ht="16" customHeight="1" x14ac:dyDescent="0.35">
      <c r="A17" s="363" t="s">
        <v>149</v>
      </c>
      <c r="B17" s="363">
        <f>COUNTIF(OUTCOMES!E:E,OutcomeCodes_OLD!A17)</f>
        <v>6</v>
      </c>
      <c r="C17" s="364"/>
      <c r="D17" s="371" t="s">
        <v>1233</v>
      </c>
      <c r="E17" s="363">
        <v>2</v>
      </c>
    </row>
    <row r="18" spans="1:5" ht="16" customHeight="1" x14ac:dyDescent="0.35">
      <c r="A18" s="368" t="s">
        <v>289</v>
      </c>
      <c r="B18" s="368">
        <f>COUNTIF(OUTCOMES!E:E,OutcomeCodes_OLD!A18)</f>
        <v>16</v>
      </c>
      <c r="C18" s="369" t="s">
        <v>1107</v>
      </c>
      <c r="D18" s="369" t="s">
        <v>1107</v>
      </c>
      <c r="E18" s="368">
        <v>3</v>
      </c>
    </row>
    <row r="19" spans="1:5" ht="16" customHeight="1" x14ac:dyDescent="0.35">
      <c r="A19" s="368" t="s">
        <v>291</v>
      </c>
      <c r="B19" s="368">
        <f>COUNTIF(OUTCOMES!E:E,OutcomeCodes_OLD!A19)</f>
        <v>16</v>
      </c>
      <c r="C19" s="369" t="s">
        <v>1107</v>
      </c>
      <c r="D19" s="369" t="s">
        <v>1107</v>
      </c>
      <c r="E19" s="368">
        <v>2</v>
      </c>
    </row>
    <row r="20" spans="1:5" ht="16" customHeight="1" x14ac:dyDescent="0.35">
      <c r="A20" s="368" t="s">
        <v>183</v>
      </c>
      <c r="B20" s="368">
        <f>COUNTIF(OUTCOMES!E:E,OutcomeCodes_OLD!A20)</f>
        <v>6</v>
      </c>
      <c r="C20" s="369" t="s">
        <v>1107</v>
      </c>
      <c r="D20" s="369" t="s">
        <v>1107</v>
      </c>
      <c r="E20" s="368">
        <v>4</v>
      </c>
    </row>
    <row r="21" spans="1:5" ht="16" customHeight="1" x14ac:dyDescent="0.35">
      <c r="A21" t="s">
        <v>153</v>
      </c>
      <c r="B21" s="245">
        <f>COUNTIF(OUTCOMES!E:E,OutcomeCodes_OLD!A21)</f>
        <v>188</v>
      </c>
      <c r="C21" s="111" t="s">
        <v>1150</v>
      </c>
    </row>
    <row r="22" spans="1:5" ht="16" customHeight="1" x14ac:dyDescent="0.35">
      <c r="A22" s="368" t="s">
        <v>695</v>
      </c>
      <c r="B22" s="368">
        <f>COUNTIF(OUTCOMES!E:E,OutcomeCodes_OLD!A22)</f>
        <v>147</v>
      </c>
      <c r="C22" s="369" t="s">
        <v>1107</v>
      </c>
      <c r="D22" s="369" t="s">
        <v>1107</v>
      </c>
      <c r="E22" s="368">
        <v>1</v>
      </c>
    </row>
    <row r="23" spans="1:5" ht="16" customHeight="1" x14ac:dyDescent="0.35">
      <c r="A23" s="368" t="s">
        <v>348</v>
      </c>
      <c r="B23" s="368">
        <f>COUNTIF(OUTCOMES!E:E,OutcomeCodes_OLD!A23)</f>
        <v>9</v>
      </c>
      <c r="C23" s="369"/>
      <c r="D23" s="369" t="s">
        <v>1107</v>
      </c>
      <c r="E23" s="368">
        <v>5</v>
      </c>
    </row>
    <row r="24" spans="1:5" ht="16" customHeight="1" x14ac:dyDescent="0.35">
      <c r="A24" s="368" t="s">
        <v>297</v>
      </c>
      <c r="B24" s="368">
        <f>COUNTIF(OUTCOMES!E:E,OutcomeCodes_OLD!A24)</f>
        <v>18</v>
      </c>
      <c r="C24" s="369"/>
      <c r="D24" s="370" t="s">
        <v>1107</v>
      </c>
      <c r="E24" s="368">
        <v>8</v>
      </c>
    </row>
    <row r="25" spans="1:5" ht="16" customHeight="1" x14ac:dyDescent="0.35">
      <c r="A25" s="365" t="s">
        <v>347</v>
      </c>
      <c r="B25" s="365">
        <f>COUNTIF(OUTCOMES!E:E,OutcomeCodes_OLD!A25)</f>
        <v>2</v>
      </c>
      <c r="C25" s="366"/>
      <c r="D25" s="367" t="s">
        <v>1106</v>
      </c>
      <c r="E25" s="365">
        <v>4</v>
      </c>
    </row>
    <row r="26" spans="1:5" ht="16" customHeight="1" x14ac:dyDescent="0.35">
      <c r="A26" s="363" t="s">
        <v>146</v>
      </c>
      <c r="B26" s="363">
        <f>COUNTIF(OUTCOMES!E:E,OutcomeCodes_OLD!A26)</f>
        <v>4</v>
      </c>
      <c r="C26" s="364"/>
      <c r="D26" s="371" t="s">
        <v>1233</v>
      </c>
      <c r="E26" s="363">
        <v>3</v>
      </c>
    </row>
    <row r="27" spans="1:5" ht="16" customHeight="1" x14ac:dyDescent="0.35">
      <c r="A27" s="365" t="s">
        <v>155</v>
      </c>
      <c r="B27" s="365">
        <f>COUNTIF(OUTCOMES!E:E,OutcomeCodes_OLD!A27)</f>
        <v>2</v>
      </c>
      <c r="C27" s="366"/>
      <c r="D27" s="367" t="s">
        <v>1106</v>
      </c>
      <c r="E27" s="365">
        <v>2</v>
      </c>
    </row>
    <row r="28" spans="1:5" ht="16" customHeight="1" x14ac:dyDescent="0.35">
      <c r="A28" s="363" t="s">
        <v>376</v>
      </c>
      <c r="B28" s="363">
        <f>COUNTIF(OUTCOMES!E:E,OutcomeCodes_OLD!A28)</f>
        <v>2</v>
      </c>
      <c r="C28" s="364"/>
      <c r="D28" s="371" t="s">
        <v>1233</v>
      </c>
      <c r="E28" s="363">
        <v>5</v>
      </c>
    </row>
    <row r="29" spans="1:5" ht="16" customHeight="1" x14ac:dyDescent="0.35">
      <c r="A29" s="368" t="s">
        <v>156</v>
      </c>
      <c r="B29" s="368">
        <f>COUNTIF(OUTCOMES!E:E,OutcomeCodes_OLD!A29)</f>
        <v>6</v>
      </c>
      <c r="C29" s="369"/>
      <c r="D29" s="370" t="s">
        <v>1107</v>
      </c>
      <c r="E29" s="368">
        <v>9</v>
      </c>
    </row>
    <row r="30" spans="1:5" x14ac:dyDescent="0.35">
      <c r="A30" t="s">
        <v>1163</v>
      </c>
      <c r="B30" s="245">
        <f>COUNTIF(OUTCOMES!E:E,OutcomeCodes_OLD!A30)</f>
        <v>308</v>
      </c>
      <c r="C30" s="111" t="s">
        <v>1162</v>
      </c>
    </row>
    <row r="31" spans="1:5" x14ac:dyDescent="0.35">
      <c r="A31" s="110" t="s">
        <v>1167</v>
      </c>
      <c r="B31" s="245">
        <f>COUNTIF(OUTCOMES!E:E,OutcomeCodes_OLD!A31)</f>
        <v>314</v>
      </c>
      <c r="C31" s="111" t="s">
        <v>1168</v>
      </c>
    </row>
    <row r="32" spans="1:5" x14ac:dyDescent="0.35">
      <c r="B32" s="245">
        <f>COUNTIF(OUTCOMES!E:E,OutcomeCodes_OLD!A32)</f>
        <v>0</v>
      </c>
    </row>
    <row r="33" spans="2:2" x14ac:dyDescent="0.35">
      <c r="B33" s="245">
        <f>COUNTIF(OUTCOMES!E:E,OutcomeCodes_OLD!A33)</f>
        <v>0</v>
      </c>
    </row>
    <row r="34" spans="2:2" x14ac:dyDescent="0.35">
      <c r="B34" s="245">
        <f>COUNTIF(OUTCOMES!E:E,OutcomeCodes_OLD!A34)</f>
        <v>0</v>
      </c>
    </row>
    <row r="35" spans="2:2" x14ac:dyDescent="0.35">
      <c r="B35" s="245">
        <f>COUNTIF(OUTCOMES!E:E,OutcomeCodes_OLD!A35)</f>
        <v>0</v>
      </c>
    </row>
    <row r="36" spans="2:2" x14ac:dyDescent="0.35">
      <c r="B36" s="245">
        <f>COUNTIF(OUTCOMES!E:E,OutcomeCodes_OLD!A36)</f>
        <v>0</v>
      </c>
    </row>
    <row r="37" spans="2:2" x14ac:dyDescent="0.35">
      <c r="B37" s="245">
        <f>COUNTIF(OUTCOMES!E:E,OutcomeCodes_OLD!A37)</f>
        <v>0</v>
      </c>
    </row>
    <row r="38" spans="2:2" x14ac:dyDescent="0.35">
      <c r="B38" s="245">
        <f>COUNTIF(OUTCOMES!E:E,OutcomeCodes_OLD!A38)</f>
        <v>0</v>
      </c>
    </row>
    <row r="39" spans="2:2" x14ac:dyDescent="0.35">
      <c r="B39" s="245">
        <f>COUNTIF(OUTCOMES!E:E,OutcomeCodes_OLD!A39)</f>
        <v>0</v>
      </c>
    </row>
    <row r="40" spans="2:2" x14ac:dyDescent="0.35">
      <c r="B40" s="245">
        <f>COUNTIF(OUTCOMES!E:E,OutcomeCodes_OLD!A40)</f>
        <v>0</v>
      </c>
    </row>
    <row r="41" spans="2:2" x14ac:dyDescent="0.35">
      <c r="B41" s="245">
        <f>COUNTIF(OUTCOMES!E:E,OutcomeCodes_OLD!A41)</f>
        <v>0</v>
      </c>
    </row>
    <row r="42" spans="2:2" x14ac:dyDescent="0.35">
      <c r="B42" s="245">
        <f>COUNTIF(OUTCOMES!E:E,OutcomeCodes_OLD!A42)</f>
        <v>0</v>
      </c>
    </row>
    <row r="43" spans="2:2" x14ac:dyDescent="0.35">
      <c r="B43" s="245">
        <f>COUNTIF(OUTCOMES!E:E,OutcomeCodes_OLD!A43)</f>
        <v>0</v>
      </c>
    </row>
    <row r="44" spans="2:2" x14ac:dyDescent="0.35">
      <c r="B44" s="245">
        <f>COUNTIF(OUTCOMES!E:E,OutcomeCodes_OLD!A44)</f>
        <v>0</v>
      </c>
    </row>
    <row r="45" spans="2:2" x14ac:dyDescent="0.35">
      <c r="B45" s="245">
        <f>COUNTIF(OUTCOMES!E:E,OutcomeCodes_OLD!A45)</f>
        <v>0</v>
      </c>
    </row>
    <row r="46" spans="2:2" x14ac:dyDescent="0.35">
      <c r="B46" s="245">
        <f>COUNTIF(OUTCOMES!E:E,OutcomeCodes_OLD!A46)</f>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E990D-AC91-C64F-B112-FC1E320AE54C}">
  <dimension ref="E3:G169"/>
  <sheetViews>
    <sheetView topLeftCell="A16" zoomScale="60" zoomScaleNormal="60" workbookViewId="0">
      <selection activeCell="O16" sqref="O16"/>
    </sheetView>
  </sheetViews>
  <sheetFormatPr defaultColWidth="11.453125" defaultRowHeight="14.5" x14ac:dyDescent="0.35"/>
  <sheetData>
    <row r="3" spans="5:7" ht="15" thickBot="1" x14ac:dyDescent="0.4">
      <c r="E3" s="236" t="s">
        <v>981</v>
      </c>
      <c r="G3" t="s">
        <v>981</v>
      </c>
    </row>
    <row r="4" spans="5:7" x14ac:dyDescent="0.35">
      <c r="E4" s="495"/>
    </row>
    <row r="5" spans="5:7" ht="15" thickBot="1" x14ac:dyDescent="0.4">
      <c r="E5" s="496"/>
      <c r="G5" t="s">
        <v>435</v>
      </c>
    </row>
    <row r="6" spans="5:7" x14ac:dyDescent="0.35">
      <c r="E6" s="493" t="s">
        <v>435</v>
      </c>
      <c r="G6" t="s">
        <v>16</v>
      </c>
    </row>
    <row r="7" spans="5:7" ht="15" thickBot="1" x14ac:dyDescent="0.4">
      <c r="E7" s="494"/>
      <c r="G7" t="s">
        <v>299</v>
      </c>
    </row>
    <row r="8" spans="5:7" x14ac:dyDescent="0.35">
      <c r="E8" s="493" t="s">
        <v>16</v>
      </c>
      <c r="G8" t="s">
        <v>321</v>
      </c>
    </row>
    <row r="9" spans="5:7" ht="15" thickBot="1" x14ac:dyDescent="0.4">
      <c r="E9" s="494"/>
      <c r="G9" t="s">
        <v>758</v>
      </c>
    </row>
    <row r="10" spans="5:7" x14ac:dyDescent="0.35">
      <c r="E10" s="495" t="s">
        <v>299</v>
      </c>
      <c r="G10" t="s">
        <v>35</v>
      </c>
    </row>
    <row r="11" spans="5:7" x14ac:dyDescent="0.35">
      <c r="E11" s="497"/>
      <c r="G11" t="s">
        <v>295</v>
      </c>
    </row>
    <row r="12" spans="5:7" ht="15" thickBot="1" x14ac:dyDescent="0.4">
      <c r="E12" s="496"/>
      <c r="G12" t="s">
        <v>72</v>
      </c>
    </row>
    <row r="13" spans="5:7" x14ac:dyDescent="0.35">
      <c r="E13" s="495" t="s">
        <v>321</v>
      </c>
      <c r="G13" t="s">
        <v>700</v>
      </c>
    </row>
    <row r="14" spans="5:7" ht="15" thickBot="1" x14ac:dyDescent="0.4">
      <c r="E14" s="496"/>
      <c r="G14" t="s">
        <v>318</v>
      </c>
    </row>
    <row r="15" spans="5:7" x14ac:dyDescent="0.35">
      <c r="E15" s="493" t="s">
        <v>758</v>
      </c>
      <c r="G15" t="s">
        <v>21</v>
      </c>
    </row>
    <row r="16" spans="5:7" ht="15" thickBot="1" x14ac:dyDescent="0.4">
      <c r="E16" s="494"/>
      <c r="G16" t="s">
        <v>301</v>
      </c>
    </row>
    <row r="17" spans="5:7" x14ac:dyDescent="0.35">
      <c r="E17" s="498" t="s">
        <v>35</v>
      </c>
      <c r="G17" t="s">
        <v>12</v>
      </c>
    </row>
    <row r="18" spans="5:7" ht="15" thickBot="1" x14ac:dyDescent="0.4">
      <c r="E18" s="499"/>
      <c r="G18" t="s">
        <v>326</v>
      </c>
    </row>
    <row r="19" spans="5:7" x14ac:dyDescent="0.35">
      <c r="E19" s="495" t="s">
        <v>295</v>
      </c>
      <c r="G19" t="s">
        <v>12</v>
      </c>
    </row>
    <row r="20" spans="5:7" x14ac:dyDescent="0.35">
      <c r="E20" s="497"/>
      <c r="G20" t="s">
        <v>745</v>
      </c>
    </row>
    <row r="21" spans="5:7" ht="15" thickBot="1" x14ac:dyDescent="0.4">
      <c r="E21" s="496"/>
      <c r="G21" t="s">
        <v>769</v>
      </c>
    </row>
    <row r="22" spans="5:7" x14ac:dyDescent="0.35">
      <c r="E22" s="493" t="s">
        <v>72</v>
      </c>
      <c r="G22" t="s">
        <v>1229</v>
      </c>
    </row>
    <row r="23" spans="5:7" ht="15" thickBot="1" x14ac:dyDescent="0.4">
      <c r="E23" s="494"/>
      <c r="G23" t="s">
        <v>12</v>
      </c>
    </row>
    <row r="24" spans="5:7" x14ac:dyDescent="0.35">
      <c r="E24" s="495" t="s">
        <v>700</v>
      </c>
      <c r="G24" t="s">
        <v>64</v>
      </c>
    </row>
    <row r="25" spans="5:7" x14ac:dyDescent="0.35">
      <c r="E25" s="497"/>
      <c r="G25" t="s">
        <v>1230</v>
      </c>
    </row>
    <row r="26" spans="5:7" x14ac:dyDescent="0.35">
      <c r="E26" s="497"/>
      <c r="G26" t="s">
        <v>878</v>
      </c>
    </row>
    <row r="27" spans="5:7" x14ac:dyDescent="0.35">
      <c r="E27" s="497"/>
      <c r="G27" t="s">
        <v>274</v>
      </c>
    </row>
    <row r="28" spans="5:7" ht="15" thickBot="1" x14ac:dyDescent="0.4">
      <c r="E28" s="496"/>
      <c r="G28" t="s">
        <v>21</v>
      </c>
    </row>
    <row r="29" spans="5:7" x14ac:dyDescent="0.35">
      <c r="E29" s="495" t="s">
        <v>318</v>
      </c>
      <c r="G29" t="s">
        <v>21</v>
      </c>
    </row>
    <row r="30" spans="5:7" ht="15" thickBot="1" x14ac:dyDescent="0.4">
      <c r="E30" s="496"/>
      <c r="G30" t="s">
        <v>12</v>
      </c>
    </row>
    <row r="31" spans="5:7" x14ac:dyDescent="0.35">
      <c r="E31" s="493" t="s">
        <v>21</v>
      </c>
      <c r="G31" t="s">
        <v>35</v>
      </c>
    </row>
    <row r="32" spans="5:7" ht="15" thickBot="1" x14ac:dyDescent="0.4">
      <c r="E32" s="494"/>
      <c r="G32" t="s">
        <v>826</v>
      </c>
    </row>
    <row r="33" spans="5:7" x14ac:dyDescent="0.35">
      <c r="E33" s="495" t="s">
        <v>301</v>
      </c>
      <c r="G33" t="s">
        <v>838</v>
      </c>
    </row>
    <row r="34" spans="5:7" x14ac:dyDescent="0.35">
      <c r="E34" s="497"/>
      <c r="G34" t="s">
        <v>248</v>
      </c>
    </row>
    <row r="35" spans="5:7" ht="15" thickBot="1" x14ac:dyDescent="0.4">
      <c r="E35" s="496"/>
      <c r="G35" t="s">
        <v>269</v>
      </c>
    </row>
    <row r="36" spans="5:7" x14ac:dyDescent="0.35">
      <c r="E36" s="495" t="s">
        <v>12</v>
      </c>
      <c r="G36" t="s">
        <v>1231</v>
      </c>
    </row>
    <row r="37" spans="5:7" ht="15" thickBot="1" x14ac:dyDescent="0.4">
      <c r="E37" s="496"/>
      <c r="G37" t="s">
        <v>713</v>
      </c>
    </row>
    <row r="38" spans="5:7" x14ac:dyDescent="0.35">
      <c r="E38" s="495" t="s">
        <v>326</v>
      </c>
      <c r="G38" t="s">
        <v>850</v>
      </c>
    </row>
    <row r="39" spans="5:7" ht="15" thickBot="1" x14ac:dyDescent="0.4">
      <c r="E39" s="496"/>
      <c r="G39" t="s">
        <v>769</v>
      </c>
    </row>
    <row r="40" spans="5:7" x14ac:dyDescent="0.35">
      <c r="E40" s="500" t="s">
        <v>12</v>
      </c>
      <c r="G40" t="s">
        <v>769</v>
      </c>
    </row>
    <row r="41" spans="5:7" ht="15" thickBot="1" x14ac:dyDescent="0.4">
      <c r="E41" s="501"/>
      <c r="G41" t="s">
        <v>298</v>
      </c>
    </row>
    <row r="42" spans="5:7" x14ac:dyDescent="0.35">
      <c r="E42" s="500" t="s">
        <v>745</v>
      </c>
      <c r="G42" t="s">
        <v>298</v>
      </c>
    </row>
    <row r="43" spans="5:7" x14ac:dyDescent="0.35">
      <c r="E43" s="502"/>
      <c r="G43" t="s">
        <v>302</v>
      </c>
    </row>
    <row r="44" spans="5:7" x14ac:dyDescent="0.35">
      <c r="E44" s="502"/>
      <c r="G44" t="s">
        <v>253</v>
      </c>
    </row>
    <row r="45" spans="5:7" ht="15" thickBot="1" x14ac:dyDescent="0.4">
      <c r="E45" s="501"/>
      <c r="G45" t="s">
        <v>256</v>
      </c>
    </row>
    <row r="46" spans="5:7" x14ac:dyDescent="0.35">
      <c r="E46" s="503" t="s">
        <v>769</v>
      </c>
      <c r="G46" t="s">
        <v>885</v>
      </c>
    </row>
    <row r="47" spans="5:7" x14ac:dyDescent="0.35">
      <c r="E47" s="504"/>
      <c r="G47" t="s">
        <v>751</v>
      </c>
    </row>
    <row r="48" spans="5:7" x14ac:dyDescent="0.35">
      <c r="E48" s="504"/>
      <c r="G48" t="s">
        <v>21</v>
      </c>
    </row>
    <row r="49" spans="5:7" ht="15" thickBot="1" x14ac:dyDescent="0.4">
      <c r="E49" s="505"/>
      <c r="G49" t="s">
        <v>81</v>
      </c>
    </row>
    <row r="50" spans="5:7" x14ac:dyDescent="0.35">
      <c r="E50" s="493" t="s">
        <v>1229</v>
      </c>
      <c r="G50" t="s">
        <v>323</v>
      </c>
    </row>
    <row r="51" spans="5:7" ht="15" thickBot="1" x14ac:dyDescent="0.4">
      <c r="E51" s="494"/>
      <c r="G51" t="s">
        <v>861</v>
      </c>
    </row>
    <row r="52" spans="5:7" x14ac:dyDescent="0.35">
      <c r="E52" s="493" t="s">
        <v>12</v>
      </c>
      <c r="G52" t="s">
        <v>861</v>
      </c>
    </row>
    <row r="53" spans="5:7" ht="15" thickBot="1" x14ac:dyDescent="0.4">
      <c r="E53" s="494"/>
      <c r="G53" t="s">
        <v>256</v>
      </c>
    </row>
    <row r="54" spans="5:7" x14ac:dyDescent="0.35">
      <c r="E54" s="493" t="s">
        <v>64</v>
      </c>
      <c r="G54" t="s">
        <v>1131</v>
      </c>
    </row>
    <row r="55" spans="5:7" x14ac:dyDescent="0.35">
      <c r="E55" s="506"/>
      <c r="G55" t="s">
        <v>1132</v>
      </c>
    </row>
    <row r="56" spans="5:7" ht="15" thickBot="1" x14ac:dyDescent="0.4">
      <c r="E56" s="494"/>
      <c r="G56" t="s">
        <v>1134</v>
      </c>
    </row>
    <row r="57" spans="5:7" x14ac:dyDescent="0.35">
      <c r="E57" s="493" t="s">
        <v>1230</v>
      </c>
      <c r="G57" t="s">
        <v>1155</v>
      </c>
    </row>
    <row r="58" spans="5:7" ht="15" thickBot="1" x14ac:dyDescent="0.4">
      <c r="E58" s="494"/>
      <c r="G58" t="s">
        <v>1175</v>
      </c>
    </row>
    <row r="59" spans="5:7" x14ac:dyDescent="0.35">
      <c r="E59" s="493" t="s">
        <v>878</v>
      </c>
      <c r="G59" t="s">
        <v>1186</v>
      </c>
    </row>
    <row r="60" spans="5:7" ht="15" thickBot="1" x14ac:dyDescent="0.4">
      <c r="E60" s="494"/>
      <c r="G60" t="s">
        <v>769</v>
      </c>
    </row>
    <row r="61" spans="5:7" x14ac:dyDescent="0.35">
      <c r="E61" s="495" t="s">
        <v>274</v>
      </c>
      <c r="G61" t="s">
        <v>769</v>
      </c>
    </row>
    <row r="62" spans="5:7" ht="15" thickBot="1" x14ac:dyDescent="0.4">
      <c r="E62" s="496"/>
      <c r="G62" t="s">
        <v>1205</v>
      </c>
    </row>
    <row r="63" spans="5:7" x14ac:dyDescent="0.35">
      <c r="E63" s="493" t="s">
        <v>21</v>
      </c>
      <c r="G63" t="s">
        <v>1217</v>
      </c>
    </row>
    <row r="64" spans="5:7" ht="15" thickBot="1" x14ac:dyDescent="0.4">
      <c r="E64" s="494"/>
    </row>
    <row r="65" spans="5:5" x14ac:dyDescent="0.35">
      <c r="E65" s="493" t="s">
        <v>21</v>
      </c>
    </row>
    <row r="66" spans="5:5" ht="15" thickBot="1" x14ac:dyDescent="0.4">
      <c r="E66" s="494"/>
    </row>
    <row r="67" spans="5:5" x14ac:dyDescent="0.35">
      <c r="E67" s="495" t="s">
        <v>12</v>
      </c>
    </row>
    <row r="68" spans="5:5" ht="15" thickBot="1" x14ac:dyDescent="0.4">
      <c r="E68" s="496"/>
    </row>
    <row r="69" spans="5:5" x14ac:dyDescent="0.35">
      <c r="E69" s="493" t="s">
        <v>35</v>
      </c>
    </row>
    <row r="70" spans="5:5" ht="15" thickBot="1" x14ac:dyDescent="0.4">
      <c r="E70" s="494"/>
    </row>
    <row r="71" spans="5:5" x14ac:dyDescent="0.35">
      <c r="E71" s="493" t="s">
        <v>826</v>
      </c>
    </row>
    <row r="72" spans="5:5" x14ac:dyDescent="0.35">
      <c r="E72" s="506"/>
    </row>
    <row r="73" spans="5:5" ht="15" thickBot="1" x14ac:dyDescent="0.4">
      <c r="E73" s="494"/>
    </row>
    <row r="74" spans="5:5" x14ac:dyDescent="0.35">
      <c r="E74" s="493" t="s">
        <v>838</v>
      </c>
    </row>
    <row r="75" spans="5:5" x14ac:dyDescent="0.35">
      <c r="E75" s="506"/>
    </row>
    <row r="76" spans="5:5" ht="15" thickBot="1" x14ac:dyDescent="0.4">
      <c r="E76" s="494"/>
    </row>
    <row r="77" spans="5:5" x14ac:dyDescent="0.35">
      <c r="E77" s="495" t="s">
        <v>248</v>
      </c>
    </row>
    <row r="78" spans="5:5" x14ac:dyDescent="0.35">
      <c r="E78" s="497"/>
    </row>
    <row r="79" spans="5:5" x14ac:dyDescent="0.35">
      <c r="E79" s="497"/>
    </row>
    <row r="80" spans="5:5" x14ac:dyDescent="0.35">
      <c r="E80" s="497"/>
    </row>
    <row r="81" spans="5:5" ht="15" thickBot="1" x14ac:dyDescent="0.4">
      <c r="E81" s="496"/>
    </row>
    <row r="82" spans="5:5" x14ac:dyDescent="0.35">
      <c r="E82" s="495" t="s">
        <v>269</v>
      </c>
    </row>
    <row r="83" spans="5:5" x14ac:dyDescent="0.35">
      <c r="E83" s="497"/>
    </row>
    <row r="84" spans="5:5" ht="15" thickBot="1" x14ac:dyDescent="0.4">
      <c r="E84" s="496"/>
    </row>
    <row r="85" spans="5:5" x14ac:dyDescent="0.35">
      <c r="E85" s="493" t="s">
        <v>1231</v>
      </c>
    </row>
    <row r="86" spans="5:5" ht="15" thickBot="1" x14ac:dyDescent="0.4">
      <c r="E86" s="494"/>
    </row>
    <row r="87" spans="5:5" x14ac:dyDescent="0.35">
      <c r="E87" s="495" t="s">
        <v>713</v>
      </c>
    </row>
    <row r="88" spans="5:5" x14ac:dyDescent="0.35">
      <c r="E88" s="497"/>
    </row>
    <row r="89" spans="5:5" x14ac:dyDescent="0.35">
      <c r="E89" s="497"/>
    </row>
    <row r="90" spans="5:5" ht="15" thickBot="1" x14ac:dyDescent="0.4">
      <c r="E90" s="496"/>
    </row>
    <row r="91" spans="5:5" x14ac:dyDescent="0.35">
      <c r="E91" s="493" t="s">
        <v>850</v>
      </c>
    </row>
    <row r="92" spans="5:5" ht="15" thickBot="1" x14ac:dyDescent="0.4">
      <c r="E92" s="494"/>
    </row>
    <row r="93" spans="5:5" x14ac:dyDescent="0.35">
      <c r="E93" s="493" t="s">
        <v>769</v>
      </c>
    </row>
    <row r="94" spans="5:5" x14ac:dyDescent="0.35">
      <c r="E94" s="506"/>
    </row>
    <row r="95" spans="5:5" x14ac:dyDescent="0.35">
      <c r="E95" s="506"/>
    </row>
    <row r="96" spans="5:5" ht="15" thickBot="1" x14ac:dyDescent="0.4">
      <c r="E96" s="494"/>
    </row>
    <row r="97" spans="5:5" x14ac:dyDescent="0.35">
      <c r="E97" s="493" t="s">
        <v>769</v>
      </c>
    </row>
    <row r="98" spans="5:5" x14ac:dyDescent="0.35">
      <c r="E98" s="506"/>
    </row>
    <row r="99" spans="5:5" x14ac:dyDescent="0.35">
      <c r="E99" s="506"/>
    </row>
    <row r="100" spans="5:5" ht="15" thickBot="1" x14ac:dyDescent="0.4">
      <c r="E100" s="494"/>
    </row>
    <row r="101" spans="5:5" x14ac:dyDescent="0.35">
      <c r="E101" s="495" t="s">
        <v>298</v>
      </c>
    </row>
    <row r="102" spans="5:5" x14ac:dyDescent="0.35">
      <c r="E102" s="497"/>
    </row>
    <row r="103" spans="5:5" ht="15" thickBot="1" x14ac:dyDescent="0.4">
      <c r="E103" s="496"/>
    </row>
    <row r="104" spans="5:5" x14ac:dyDescent="0.35">
      <c r="E104" s="495" t="s">
        <v>298</v>
      </c>
    </row>
    <row r="105" spans="5:5" x14ac:dyDescent="0.35">
      <c r="E105" s="497"/>
    </row>
    <row r="106" spans="5:5" ht="15" thickBot="1" x14ac:dyDescent="0.4">
      <c r="E106" s="496"/>
    </row>
    <row r="107" spans="5:5" x14ac:dyDescent="0.35">
      <c r="E107" s="495" t="s">
        <v>302</v>
      </c>
    </row>
    <row r="108" spans="5:5" x14ac:dyDescent="0.35">
      <c r="E108" s="497"/>
    </row>
    <row r="109" spans="5:5" ht="15" thickBot="1" x14ac:dyDescent="0.4">
      <c r="E109" s="496"/>
    </row>
    <row r="110" spans="5:5" x14ac:dyDescent="0.35">
      <c r="E110" s="495" t="s">
        <v>253</v>
      </c>
    </row>
    <row r="111" spans="5:5" x14ac:dyDescent="0.35">
      <c r="E111" s="497"/>
    </row>
    <row r="112" spans="5:5" x14ac:dyDescent="0.35">
      <c r="E112" s="497"/>
    </row>
    <row r="113" spans="5:5" ht="15" thickBot="1" x14ac:dyDescent="0.4">
      <c r="E113" s="496"/>
    </row>
    <row r="114" spans="5:5" x14ac:dyDescent="0.35">
      <c r="E114" s="495" t="s">
        <v>256</v>
      </c>
    </row>
    <row r="115" spans="5:5" ht="15" thickBot="1" x14ac:dyDescent="0.4">
      <c r="E115" s="496"/>
    </row>
    <row r="116" spans="5:5" x14ac:dyDescent="0.35">
      <c r="E116" s="493" t="s">
        <v>885</v>
      </c>
    </row>
    <row r="117" spans="5:5" x14ac:dyDescent="0.35">
      <c r="E117" s="506"/>
    </row>
    <row r="118" spans="5:5" ht="15" thickBot="1" x14ac:dyDescent="0.4">
      <c r="E118" s="494"/>
    </row>
    <row r="119" spans="5:5" x14ac:dyDescent="0.35">
      <c r="E119" s="495" t="s">
        <v>751</v>
      </c>
    </row>
    <row r="120" spans="5:5" x14ac:dyDescent="0.35">
      <c r="E120" s="497"/>
    </row>
    <row r="121" spans="5:5" ht="15" thickBot="1" x14ac:dyDescent="0.4">
      <c r="E121" s="496"/>
    </row>
    <row r="122" spans="5:5" x14ac:dyDescent="0.35">
      <c r="E122" s="493" t="s">
        <v>21</v>
      </c>
    </row>
    <row r="123" spans="5:5" ht="15" thickBot="1" x14ac:dyDescent="0.4">
      <c r="E123" s="494"/>
    </row>
    <row r="124" spans="5:5" x14ac:dyDescent="0.35">
      <c r="E124" s="493" t="s">
        <v>81</v>
      </c>
    </row>
    <row r="125" spans="5:5" x14ac:dyDescent="0.35">
      <c r="E125" s="506"/>
    </row>
    <row r="126" spans="5:5" x14ac:dyDescent="0.35">
      <c r="E126" s="506"/>
    </row>
    <row r="127" spans="5:5" x14ac:dyDescent="0.35">
      <c r="E127" s="506"/>
    </row>
    <row r="128" spans="5:5" x14ac:dyDescent="0.35">
      <c r="E128" s="506"/>
    </row>
    <row r="129" spans="5:5" ht="15" thickBot="1" x14ac:dyDescent="0.4">
      <c r="E129" s="494"/>
    </row>
    <row r="130" spans="5:5" x14ac:dyDescent="0.35">
      <c r="E130" s="495" t="s">
        <v>323</v>
      </c>
    </row>
    <row r="131" spans="5:5" ht="15" thickBot="1" x14ac:dyDescent="0.4">
      <c r="E131" s="496"/>
    </row>
    <row r="132" spans="5:5" x14ac:dyDescent="0.35">
      <c r="E132" s="493" t="s">
        <v>861</v>
      </c>
    </row>
    <row r="133" spans="5:5" ht="15" thickBot="1" x14ac:dyDescent="0.4">
      <c r="E133" s="494"/>
    </row>
    <row r="134" spans="5:5" x14ac:dyDescent="0.35">
      <c r="E134" s="493" t="s">
        <v>861</v>
      </c>
    </row>
    <row r="135" spans="5:5" ht="15" thickBot="1" x14ac:dyDescent="0.4">
      <c r="E135" s="494"/>
    </row>
    <row r="136" spans="5:5" x14ac:dyDescent="0.35">
      <c r="E136" s="495" t="s">
        <v>256</v>
      </c>
    </row>
    <row r="137" spans="5:5" x14ac:dyDescent="0.35">
      <c r="E137" s="497"/>
    </row>
    <row r="138" spans="5:5" x14ac:dyDescent="0.35">
      <c r="E138" s="497"/>
    </row>
    <row r="139" spans="5:5" ht="15" thickBot="1" x14ac:dyDescent="0.4">
      <c r="E139" s="496"/>
    </row>
    <row r="140" spans="5:5" x14ac:dyDescent="0.35">
      <c r="E140" s="503" t="s">
        <v>1131</v>
      </c>
    </row>
    <row r="141" spans="5:5" x14ac:dyDescent="0.35">
      <c r="E141" s="504"/>
    </row>
    <row r="142" spans="5:5" ht="15" thickBot="1" x14ac:dyDescent="0.4">
      <c r="E142" s="505"/>
    </row>
    <row r="143" spans="5:5" x14ac:dyDescent="0.35">
      <c r="E143" s="503" t="s">
        <v>1132</v>
      </c>
    </row>
    <row r="144" spans="5:5" x14ac:dyDescent="0.35">
      <c r="E144" s="504"/>
    </row>
    <row r="145" spans="5:5" x14ac:dyDescent="0.35">
      <c r="E145" s="504"/>
    </row>
    <row r="146" spans="5:5" ht="15" thickBot="1" x14ac:dyDescent="0.4">
      <c r="E146" s="505"/>
    </row>
    <row r="147" spans="5:5" x14ac:dyDescent="0.35">
      <c r="E147" s="493" t="s">
        <v>1134</v>
      </c>
    </row>
    <row r="148" spans="5:5" x14ac:dyDescent="0.35">
      <c r="E148" s="506"/>
    </row>
    <row r="149" spans="5:5" x14ac:dyDescent="0.35">
      <c r="E149" s="506"/>
    </row>
    <row r="150" spans="5:5" ht="15" thickBot="1" x14ac:dyDescent="0.4">
      <c r="E150" s="494"/>
    </row>
    <row r="151" spans="5:5" x14ac:dyDescent="0.35">
      <c r="E151" s="493" t="s">
        <v>1155</v>
      </c>
    </row>
    <row r="152" spans="5:5" x14ac:dyDescent="0.35">
      <c r="E152" s="506"/>
    </row>
    <row r="153" spans="5:5" ht="15" thickBot="1" x14ac:dyDescent="0.4">
      <c r="E153" s="494"/>
    </row>
    <row r="154" spans="5:5" x14ac:dyDescent="0.35">
      <c r="E154" s="493" t="s">
        <v>1175</v>
      </c>
    </row>
    <row r="155" spans="5:5" x14ac:dyDescent="0.35">
      <c r="E155" s="506"/>
    </row>
    <row r="156" spans="5:5" x14ac:dyDescent="0.35">
      <c r="E156" s="506" t="s">
        <v>1186</v>
      </c>
    </row>
    <row r="157" spans="5:5" x14ac:dyDescent="0.35">
      <c r="E157" s="506"/>
    </row>
    <row r="158" spans="5:5" x14ac:dyDescent="0.35">
      <c r="E158" s="506"/>
    </row>
    <row r="159" spans="5:5" x14ac:dyDescent="0.35">
      <c r="E159" s="504" t="s">
        <v>769</v>
      </c>
    </row>
    <row r="160" spans="5:5" x14ac:dyDescent="0.35">
      <c r="E160" s="504"/>
    </row>
    <row r="161" spans="5:5" x14ac:dyDescent="0.35">
      <c r="E161" s="504"/>
    </row>
    <row r="162" spans="5:5" x14ac:dyDescent="0.35">
      <c r="E162" s="504" t="s">
        <v>769</v>
      </c>
    </row>
    <row r="163" spans="5:5" x14ac:dyDescent="0.35">
      <c r="E163" s="504"/>
    </row>
    <row r="164" spans="5:5" x14ac:dyDescent="0.35">
      <c r="E164" s="504"/>
    </row>
    <row r="165" spans="5:5" x14ac:dyDescent="0.35">
      <c r="E165" s="506" t="s">
        <v>1205</v>
      </c>
    </row>
    <row r="166" spans="5:5" x14ac:dyDescent="0.35">
      <c r="E166" s="506"/>
    </row>
    <row r="167" spans="5:5" x14ac:dyDescent="0.35">
      <c r="E167" s="506"/>
    </row>
    <row r="168" spans="5:5" x14ac:dyDescent="0.35">
      <c r="E168" s="504" t="s">
        <v>1217</v>
      </c>
    </row>
    <row r="169" spans="5:5" x14ac:dyDescent="0.35">
      <c r="E169" s="504"/>
    </row>
  </sheetData>
  <mergeCells count="60">
    <mergeCell ref="E168:E169"/>
    <mergeCell ref="E134:E135"/>
    <mergeCell ref="E136:E139"/>
    <mergeCell ref="E140:E142"/>
    <mergeCell ref="E143:E146"/>
    <mergeCell ref="E147:E150"/>
    <mergeCell ref="E151:E153"/>
    <mergeCell ref="E154:E155"/>
    <mergeCell ref="E156:E158"/>
    <mergeCell ref="E159:E161"/>
    <mergeCell ref="E162:E164"/>
    <mergeCell ref="E165:E167"/>
    <mergeCell ref="E132:E133"/>
    <mergeCell ref="E97:E100"/>
    <mergeCell ref="E101:E103"/>
    <mergeCell ref="E104:E106"/>
    <mergeCell ref="E107:E109"/>
    <mergeCell ref="E110:E113"/>
    <mergeCell ref="E114:E115"/>
    <mergeCell ref="E116:E118"/>
    <mergeCell ref="E119:E121"/>
    <mergeCell ref="E122:E123"/>
    <mergeCell ref="E124:E129"/>
    <mergeCell ref="E130:E131"/>
    <mergeCell ref="E93:E96"/>
    <mergeCell ref="E63:E64"/>
    <mergeCell ref="E65:E66"/>
    <mergeCell ref="E67:E68"/>
    <mergeCell ref="E69:E70"/>
    <mergeCell ref="E71:E73"/>
    <mergeCell ref="E74:E76"/>
    <mergeCell ref="E77:E81"/>
    <mergeCell ref="E82:E84"/>
    <mergeCell ref="E85:E86"/>
    <mergeCell ref="E87:E90"/>
    <mergeCell ref="E91:E92"/>
    <mergeCell ref="E61:E62"/>
    <mergeCell ref="E33:E35"/>
    <mergeCell ref="E36:E37"/>
    <mergeCell ref="E38:E39"/>
    <mergeCell ref="E40:E41"/>
    <mergeCell ref="E42:E45"/>
    <mergeCell ref="E46:E49"/>
    <mergeCell ref="E50:E51"/>
    <mergeCell ref="E52:E53"/>
    <mergeCell ref="E54:E56"/>
    <mergeCell ref="E57:E58"/>
    <mergeCell ref="E59:E60"/>
    <mergeCell ref="E31:E32"/>
    <mergeCell ref="E4:E5"/>
    <mergeCell ref="E6:E7"/>
    <mergeCell ref="E8:E9"/>
    <mergeCell ref="E10:E12"/>
    <mergeCell ref="E13:E14"/>
    <mergeCell ref="E15:E16"/>
    <mergeCell ref="E17:E18"/>
    <mergeCell ref="E19:E21"/>
    <mergeCell ref="E22:E23"/>
    <mergeCell ref="E24:E28"/>
    <mergeCell ref="E29:E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A4E26AD3EB48498D075B92127E0AD4" ma:contentTypeVersion="15" ma:contentTypeDescription="Create a new document." ma:contentTypeScope="" ma:versionID="10445d03c720e68ccad071e659c66c10">
  <xsd:schema xmlns:xsd="http://www.w3.org/2001/XMLSchema" xmlns:xs="http://www.w3.org/2001/XMLSchema" xmlns:p="http://schemas.microsoft.com/office/2006/metadata/properties" xmlns:ns3="7359cef1-9a2a-4435-90fb-0253010bea6e" xmlns:ns4="20fcd818-8192-48f8-a1e2-d90073d772d1" targetNamespace="http://schemas.microsoft.com/office/2006/metadata/properties" ma:root="true" ma:fieldsID="a5b3701841026dcc703996f774f1ef03" ns3:_="" ns4:_="">
    <xsd:import namespace="7359cef1-9a2a-4435-90fb-0253010bea6e"/>
    <xsd:import namespace="20fcd818-8192-48f8-a1e2-d90073d772d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59cef1-9a2a-4435-90fb-0253010bea6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0fcd818-8192-48f8-a1e2-d90073d772d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14DF33-7DD2-43A1-9CD7-2C257E97D20D}">
  <ds:schemaRefs>
    <ds:schemaRef ds:uri="http://schemas.microsoft.com/sharepoint/v3/contenttype/forms"/>
  </ds:schemaRefs>
</ds:datastoreItem>
</file>

<file path=customXml/itemProps2.xml><?xml version="1.0" encoding="utf-8"?>
<ds:datastoreItem xmlns:ds="http://schemas.openxmlformats.org/officeDocument/2006/customXml" ds:itemID="{662BA60B-2279-4098-AAB9-77C7FE3C1A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59cef1-9a2a-4435-90fb-0253010bea6e"/>
    <ds:schemaRef ds:uri="20fcd818-8192-48f8-a1e2-d90073d772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A09A28-9A5A-426E-9534-66CC4FEFC727}">
  <ds:schemaRefs>
    <ds:schemaRef ds:uri="http://schemas.microsoft.com/office/infopath/2007/PartnerControls"/>
    <ds:schemaRef ds:uri="http://schemas.openxmlformats.org/package/2006/metadata/core-properties"/>
    <ds:schemaRef ds:uri="7359cef1-9a2a-4435-90fb-0253010bea6e"/>
    <ds:schemaRef ds:uri="http://schemas.microsoft.com/office/2006/documentManagement/types"/>
    <ds:schemaRef ds:uri="http://purl.org/dc/elements/1.1/"/>
    <ds:schemaRef ds:uri="http://www.w3.org/XML/1998/namespace"/>
    <ds:schemaRef ds:uri="20fcd818-8192-48f8-a1e2-d90073d772d1"/>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STUDIES</vt:lpstr>
      <vt:lpstr>ARMS</vt:lpstr>
      <vt:lpstr>OUTCOMES</vt:lpstr>
      <vt:lpstr>ROB</vt:lpstr>
      <vt:lpstr>DataDic</vt:lpstr>
      <vt:lpstr>TreatmentCodes</vt:lpstr>
      <vt:lpstr>OutcomeCodes</vt:lpstr>
      <vt:lpstr>OutcomeCodes_OLD</vt:lpstr>
      <vt:lpstr>Hoja1</vt:lpstr>
      <vt:lpstr>OutcomeCodes!Outcomes</vt:lpstr>
      <vt:lpstr>Outcomes</vt:lpstr>
      <vt:lpstr>ARMS!Print_Area</vt:lpstr>
      <vt:lpstr>STUDIES!Print_Area</vt:lpstr>
      <vt:lpstr>ARMS!Print_Titles</vt:lpstr>
      <vt:lpstr>STUDIES!Print_Titles</vt:lpstr>
      <vt:lpstr>Studies</vt:lpstr>
      <vt:lpstr>Treatments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Kuester</dc:creator>
  <cp:keywords/>
  <dc:description/>
  <cp:lastModifiedBy>Lau, Karen</cp:lastModifiedBy>
  <cp:revision/>
  <dcterms:created xsi:type="dcterms:W3CDTF">2012-06-13T07:56:03Z</dcterms:created>
  <dcterms:modified xsi:type="dcterms:W3CDTF">2025-06-27T20:26:34Z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0x010100AFA4E26AD3EB48498D075B92127E0AD4</vt:lpwstr>
  </property>
</Properties>
</file>